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ristl\Desktop\"/>
    </mc:Choice>
  </mc:AlternateContent>
  <xr:revisionPtr revIDLastSave="0" documentId="13_ncr:1_{6EF9952E-B222-4377-BF67-462EFC0F21C4}" xr6:coauthVersionLast="47" xr6:coauthVersionMax="47" xr10:uidLastSave="{00000000-0000-0000-0000-000000000000}"/>
  <bookViews>
    <workbookView xWindow="-28920" yWindow="-120" windowWidth="29040" windowHeight="15840" tabRatio="736" firstSheet="1" activeTab="6" xr2:uid="{00000000-000D-0000-FFFF-FFFF00000000}"/>
  </bookViews>
  <sheets>
    <sheet name="Leitfaden - guide " sheetId="14" r:id="rId1"/>
    <sheet name="Start" sheetId="11" r:id="rId2"/>
    <sheet name="Arzneimittel" sheetId="17" r:id="rId3"/>
    <sheet name="Ersatzteil-nicht Medizinprodukt" sheetId="18" r:id="rId4"/>
    <sheet name="Medizinprodukt" sheetId="19" r:id="rId5"/>
    <sheet name="Diverse" sheetId="20" r:id="rId6"/>
    <sheet name="Artikelpass gesamt" sheetId="12" r:id="rId7"/>
    <sheet name="Header_Data" sheetId="7" r:id="rId8"/>
    <sheet name="Änd.historie-historyfolder" sheetId="9" r:id="rId9"/>
    <sheet name="Verpackungsgewichte (34.ff)" sheetId="16" r:id="rId10"/>
  </sheets>
  <externalReferences>
    <externalReference r:id="rId11"/>
  </externalReferences>
  <definedNames>
    <definedName name="_xlnm.Print_Titles" localSheetId="6">'Artikelpass gesamt'!$2:$6</definedName>
    <definedName name="_xlnm.Print_Titles" localSheetId="2">Arzneimittel!$2:$6</definedName>
    <definedName name="_xlnm.Print_Titles" localSheetId="5">Diverse!$2:$6</definedName>
    <definedName name="_xlnm.Print_Titles" localSheetId="3">'Ersatzteil-nicht Medizinprodukt'!$2:$6</definedName>
    <definedName name="_xlnm.Print_Titles" localSheetId="7">Header_Data!$3:$11</definedName>
    <definedName name="_xlnm.Print_Titles" localSheetId="4">Medizinprodukt!$2:$6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X5" i="18" l="1"/>
  <c r="FW5" i="18"/>
  <c r="FV5" i="18"/>
  <c r="FU5" i="18"/>
  <c r="FS5" i="18"/>
  <c r="FR5" i="18"/>
  <c r="FQ5" i="18"/>
  <c r="FP5" i="18"/>
  <c r="FO5" i="18"/>
  <c r="FN5" i="18"/>
  <c r="FM5" i="18"/>
  <c r="FL5" i="18"/>
  <c r="FK5" i="18"/>
  <c r="FJ5" i="18"/>
  <c r="FI5" i="18"/>
  <c r="FX4" i="18"/>
  <c r="FW4" i="18"/>
  <c r="FV4" i="18"/>
  <c r="FU4" i="18"/>
  <c r="FS4" i="18"/>
  <c r="FR4" i="18"/>
  <c r="FQ4" i="18"/>
  <c r="FP4" i="18"/>
  <c r="FO4" i="18"/>
  <c r="FJ4" i="18"/>
  <c r="FI4" i="18"/>
  <c r="FX2" i="18"/>
  <c r="FW2" i="18"/>
  <c r="FV2" i="18"/>
  <c r="FU2" i="18"/>
  <c r="FS2" i="18"/>
  <c r="FR2" i="18"/>
  <c r="FQ2" i="18"/>
  <c r="FP2" i="18"/>
  <c r="FO2" i="18"/>
  <c r="FN2" i="18"/>
  <c r="FM2" i="18"/>
  <c r="FL2" i="18"/>
  <c r="FK2" i="18"/>
  <c r="FJ2" i="18"/>
  <c r="FI2" i="18"/>
  <c r="FE5" i="18"/>
  <c r="FE4" i="18"/>
  <c r="FE2" i="18"/>
  <c r="FA5" i="18"/>
  <c r="EZ5" i="18"/>
  <c r="EY5" i="18"/>
  <c r="EX5" i="18"/>
  <c r="EW5" i="18"/>
  <c r="EV5" i="18"/>
  <c r="EU5" i="18"/>
  <c r="ET5" i="18"/>
  <c r="ES5" i="18"/>
  <c r="ER5" i="18"/>
  <c r="EQ5" i="18"/>
  <c r="EP5" i="18"/>
  <c r="EO5" i="18"/>
  <c r="EN5" i="18"/>
  <c r="FA4" i="18"/>
  <c r="EY4" i="18"/>
  <c r="EV4" i="18"/>
  <c r="EU4" i="18"/>
  <c r="ET4" i="18"/>
  <c r="ES4" i="18"/>
  <c r="EQ4" i="18"/>
  <c r="EN4" i="18"/>
  <c r="EZ3" i="18"/>
  <c r="EY3" i="18"/>
  <c r="EX3" i="18"/>
  <c r="EW3" i="18"/>
  <c r="EV3" i="18"/>
  <c r="ER3" i="18"/>
  <c r="EQ3" i="18"/>
  <c r="EP3" i="18"/>
  <c r="EO3" i="18"/>
  <c r="EN3" i="18"/>
  <c r="FA2" i="18"/>
  <c r="EV2" i="18"/>
  <c r="EU2" i="18"/>
  <c r="ET2" i="18"/>
  <c r="ES2" i="18"/>
  <c r="EN2" i="18"/>
  <c r="DO5" i="18"/>
  <c r="DN5" i="18"/>
  <c r="DM5" i="18"/>
  <c r="DL5" i="18"/>
  <c r="DK5" i="18"/>
  <c r="DJ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DO4" i="18"/>
  <c r="DN4" i="18"/>
  <c r="DM4" i="18"/>
  <c r="DL4" i="18"/>
  <c r="DK4" i="18"/>
  <c r="DJ4" i="18"/>
  <c r="DI4" i="18"/>
  <c r="DH4" i="18"/>
  <c r="DG4" i="18"/>
  <c r="DF4" i="18"/>
  <c r="DE4" i="18"/>
  <c r="DD4" i="18"/>
  <c r="DC4" i="18"/>
  <c r="DB4" i="18"/>
  <c r="DA4" i="18"/>
  <c r="CZ4" i="18"/>
  <c r="CY4" i="18"/>
  <c r="CX4" i="18"/>
  <c r="CW4" i="18"/>
  <c r="CT4" i="18"/>
  <c r="CS4" i="18"/>
  <c r="CR4" i="18"/>
  <c r="CQ4" i="18"/>
  <c r="CP4" i="18"/>
  <c r="CO4" i="18"/>
  <c r="DF3" i="18"/>
  <c r="DC3" i="18"/>
  <c r="DA3" i="18"/>
  <c r="CV3" i="18"/>
  <c r="CU3" i="18"/>
  <c r="CT3" i="18"/>
  <c r="DO2" i="18"/>
  <c r="DN2" i="18"/>
  <c r="DM2" i="18"/>
  <c r="DL2" i="18"/>
  <c r="DK2" i="18"/>
  <c r="DJ2" i="18"/>
  <c r="DI2" i="18"/>
  <c r="DH2" i="18"/>
  <c r="DG2" i="18"/>
  <c r="DE2" i="18"/>
  <c r="DD2" i="18"/>
  <c r="DB2" i="18"/>
  <c r="CZ2" i="18"/>
  <c r="CY2" i="18"/>
  <c r="CX2" i="18"/>
  <c r="CW2" i="18"/>
  <c r="CT2" i="18"/>
  <c r="CS2" i="18"/>
  <c r="CR2" i="18"/>
  <c r="CQ2" i="18"/>
  <c r="CP2" i="18"/>
  <c r="CO2" i="18"/>
  <c r="CM5" i="18"/>
  <c r="CL5" i="18"/>
  <c r="CK5" i="18"/>
  <c r="CJ5" i="18"/>
  <c r="CI5" i="18"/>
  <c r="CH5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CM4" i="18"/>
  <c r="CL4" i="18"/>
  <c r="CK4" i="18"/>
  <c r="CJ4" i="18"/>
  <c r="CI4" i="18"/>
  <c r="CH4" i="18"/>
  <c r="CG4" i="18"/>
  <c r="CF4" i="18"/>
  <c r="CE4" i="18"/>
  <c r="CD4" i="18"/>
  <c r="CC4" i="18"/>
  <c r="CB4" i="18"/>
  <c r="CA4" i="18"/>
  <c r="BZ4" i="18"/>
  <c r="BY4" i="18"/>
  <c r="BX4" i="18"/>
  <c r="BW4" i="18"/>
  <c r="BV4" i="18"/>
  <c r="BU4" i="18"/>
  <c r="BT4" i="18"/>
  <c r="BS4" i="18"/>
  <c r="BR4" i="18"/>
  <c r="BQ4" i="18"/>
  <c r="BP4" i="18"/>
  <c r="BO4" i="18"/>
  <c r="BN4" i="18"/>
  <c r="CM2" i="18"/>
  <c r="CL2" i="18"/>
  <c r="CK2" i="18"/>
  <c r="CJ2" i="18"/>
  <c r="CI2" i="18"/>
  <c r="CH2" i="18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R2" i="18"/>
  <c r="BQ2" i="18"/>
  <c r="BP2" i="18"/>
  <c r="BO2" i="18"/>
  <c r="BN2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AS3" i="18"/>
  <c r="AR3" i="18"/>
  <c r="AQ3" i="18"/>
  <c r="AP3" i="18"/>
  <c r="BK2" i="18"/>
  <c r="BJ2" i="18"/>
  <c r="BI2" i="18"/>
  <c r="BH2" i="18"/>
  <c r="BG2" i="18"/>
  <c r="BF2" i="18"/>
  <c r="BE2" i="18"/>
  <c r="BD2" i="18"/>
  <c r="BC2" i="18"/>
  <c r="BB2" i="18"/>
  <c r="BA2" i="18"/>
  <c r="AZ2" i="18"/>
  <c r="AY2" i="18"/>
  <c r="AX2" i="18"/>
  <c r="AW2" i="18"/>
  <c r="AV2" i="18"/>
  <c r="AU2" i="18"/>
  <c r="AT2" i="18"/>
  <c r="AR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2" i="18"/>
  <c r="S2" i="18"/>
  <c r="GB5" i="20"/>
  <c r="GA5" i="20"/>
  <c r="GB4" i="20"/>
  <c r="GA4" i="20"/>
  <c r="GB2" i="20"/>
  <c r="GA2" i="20"/>
  <c r="FR5" i="20"/>
  <c r="FQ5" i="20"/>
  <c r="FR2" i="20"/>
  <c r="FQ2" i="20"/>
  <c r="BM5" i="20"/>
  <c r="BL5" i="20"/>
  <c r="BK5" i="20"/>
  <c r="BJ5" i="20"/>
  <c r="BI5" i="20"/>
  <c r="BH5" i="20"/>
  <c r="BG5" i="20"/>
  <c r="BF5" i="20"/>
  <c r="BE5" i="20"/>
  <c r="BD5" i="20"/>
  <c r="BC5" i="20"/>
  <c r="BB5" i="20"/>
  <c r="BA5" i="20"/>
  <c r="AZ5" i="20"/>
  <c r="AY5" i="20"/>
  <c r="AX5" i="20"/>
  <c r="AW5" i="20"/>
  <c r="AV5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N5" i="20"/>
  <c r="AM5" i="20"/>
  <c r="AL5" i="20"/>
  <c r="AK5" i="20"/>
  <c r="AN4" i="20"/>
  <c r="AM4" i="20"/>
  <c r="AL4" i="20"/>
  <c r="AK4" i="20"/>
  <c r="AN2" i="20"/>
  <c r="AM2" i="20"/>
  <c r="AL2" i="20"/>
  <c r="AK2" i="20"/>
  <c r="FQ5" i="19"/>
  <c r="FQ2" i="19"/>
  <c r="BQ5" i="19"/>
  <c r="BP5" i="19"/>
  <c r="BQ4" i="19"/>
  <c r="BP4" i="19"/>
  <c r="BQ2" i="19"/>
  <c r="BP2" i="19"/>
  <c r="BM5" i="19"/>
  <c r="BL5" i="19"/>
  <c r="BM4" i="19"/>
  <c r="BL4" i="19"/>
  <c r="BM2" i="19"/>
  <c r="BL2" i="19"/>
  <c r="BG5" i="19"/>
  <c r="BF5" i="19"/>
  <c r="BE5" i="19"/>
  <c r="BD5" i="19"/>
  <c r="BC5" i="19"/>
  <c r="BB5" i="19"/>
  <c r="BA5" i="19"/>
  <c r="AZ5" i="19"/>
  <c r="AY5" i="19"/>
  <c r="AX5" i="19"/>
  <c r="AW5" i="19"/>
  <c r="AV5" i="19"/>
  <c r="BG4" i="19"/>
  <c r="BF4" i="19"/>
  <c r="BE4" i="19"/>
  <c r="BD4" i="19"/>
  <c r="BC4" i="19"/>
  <c r="BB4" i="19"/>
  <c r="BA4" i="19"/>
  <c r="AZ4" i="19"/>
  <c r="AY4" i="19"/>
  <c r="AX4" i="19"/>
  <c r="AW4" i="19"/>
  <c r="AV4" i="19"/>
  <c r="BG2" i="19"/>
  <c r="BF2" i="19"/>
  <c r="BE2" i="19"/>
  <c r="BD2" i="19"/>
  <c r="BC2" i="19"/>
  <c r="BB2" i="19"/>
  <c r="BA2" i="19"/>
  <c r="AZ2" i="19"/>
  <c r="AY2" i="19"/>
  <c r="AX2" i="19"/>
  <c r="AW2" i="19"/>
  <c r="AV2" i="19"/>
  <c r="GB5" i="17"/>
  <c r="GA5" i="17"/>
  <c r="FZ5" i="17"/>
  <c r="FY5" i="17"/>
  <c r="FW5" i="17"/>
  <c r="FV5" i="17"/>
  <c r="FU5" i="17"/>
  <c r="GB4" i="17"/>
  <c r="GA4" i="17"/>
  <c r="FZ4" i="17"/>
  <c r="FY4" i="17"/>
  <c r="FW4" i="17"/>
  <c r="FV4" i="17"/>
  <c r="FU4" i="17"/>
  <c r="GB2" i="17"/>
  <c r="GA2" i="17"/>
  <c r="FZ2" i="17"/>
  <c r="FY2" i="17"/>
  <c r="FW2" i="17"/>
  <c r="FV2" i="17"/>
  <c r="FU2" i="17"/>
  <c r="FR5" i="17"/>
  <c r="FR2" i="17"/>
  <c r="FF5" i="17"/>
  <c r="FF4" i="17"/>
  <c r="FF2" i="17"/>
  <c r="DO5" i="17"/>
  <c r="DN5" i="17"/>
  <c r="DM5" i="17"/>
  <c r="DL5" i="17"/>
  <c r="DK5" i="17"/>
  <c r="DJ5" i="17"/>
  <c r="DO4" i="17"/>
  <c r="DN4" i="17"/>
  <c r="DM4" i="17"/>
  <c r="DL4" i="17"/>
  <c r="DK4" i="17"/>
  <c r="DJ4" i="17"/>
  <c r="DO2" i="17"/>
  <c r="DN2" i="17"/>
  <c r="DM2" i="17"/>
  <c r="DL2" i="17"/>
  <c r="DK2" i="17"/>
  <c r="DJ2" i="17"/>
  <c r="DI5" i="17"/>
  <c r="DH5" i="17"/>
  <c r="DG5" i="17"/>
  <c r="DF5" i="17"/>
  <c r="DE5" i="17"/>
  <c r="DD5" i="17"/>
  <c r="DC5" i="17"/>
  <c r="DB5" i="17"/>
  <c r="DA5" i="17"/>
  <c r="CZ5" i="17"/>
  <c r="CY5" i="17"/>
  <c r="CX5" i="17"/>
  <c r="CW5" i="17"/>
  <c r="CV5" i="17"/>
  <c r="CU5" i="17"/>
  <c r="CT5" i="17"/>
  <c r="CS5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T4" i="17"/>
  <c r="CS4" i="17"/>
  <c r="DF3" i="17"/>
  <c r="DC3" i="17"/>
  <c r="DA3" i="17"/>
  <c r="CV3" i="17"/>
  <c r="CU3" i="17"/>
  <c r="CT3" i="17"/>
  <c r="DI2" i="17"/>
  <c r="DH2" i="17"/>
  <c r="DG2" i="17"/>
  <c r="DE2" i="17"/>
  <c r="DD2" i="17"/>
  <c r="DB2" i="17"/>
  <c r="CZ2" i="17"/>
  <c r="CY2" i="17"/>
  <c r="CX2" i="17"/>
  <c r="CW2" i="17"/>
  <c r="CT2" i="17"/>
  <c r="CS2" i="17"/>
  <c r="BQ5" i="17"/>
  <c r="BP5" i="17"/>
  <c r="BO5" i="17"/>
  <c r="BN5" i="17"/>
  <c r="BM5" i="17"/>
  <c r="BL5" i="17"/>
  <c r="BQ4" i="17"/>
  <c r="BP4" i="17"/>
  <c r="BO4" i="17"/>
  <c r="BN4" i="17"/>
  <c r="BM4" i="17"/>
  <c r="BL4" i="17"/>
  <c r="BQ2" i="17"/>
  <c r="BP2" i="17"/>
  <c r="BO2" i="17"/>
  <c r="BN2" i="17"/>
  <c r="BM2" i="17"/>
  <c r="BL2" i="17"/>
  <c r="BK5" i="17"/>
  <c r="BJ5" i="17"/>
  <c r="BI5" i="17"/>
  <c r="BH5" i="17"/>
  <c r="BK4" i="17"/>
  <c r="BJ4" i="17"/>
  <c r="BI4" i="17"/>
  <c r="BH4" i="17"/>
  <c r="BK2" i="17"/>
  <c r="BJ2" i="17"/>
  <c r="BI2" i="17"/>
  <c r="BH2" i="17"/>
  <c r="AL5" i="17"/>
  <c r="AK5" i="17"/>
  <c r="AL4" i="17"/>
  <c r="AK4" i="17"/>
  <c r="AL2" i="17"/>
  <c r="AK2" i="17"/>
  <c r="T5" i="17"/>
  <c r="T4" i="17"/>
  <c r="T2" i="17"/>
  <c r="H23" i="11" l="1"/>
  <c r="H22" i="11"/>
  <c r="H21" i="11"/>
  <c r="H20" i="11"/>
  <c r="G2" i="11"/>
  <c r="J6" i="11"/>
  <c r="H10" i="11" l="1"/>
  <c r="H18" i="11"/>
  <c r="A2" i="7" s="1"/>
  <c r="H6" i="11"/>
  <c r="I2" i="7" s="1"/>
  <c r="I7" i="7" l="1"/>
  <c r="J2" i="7"/>
  <c r="J7" i="7"/>
  <c r="A7" i="7"/>
  <c r="GD2" i="19" l="1"/>
  <c r="GD5" i="19"/>
  <c r="GC2" i="19"/>
  <c r="GD2" i="20"/>
  <c r="GD2" i="12"/>
  <c r="GD5" i="12"/>
  <c r="GD5" i="20"/>
  <c r="GD5" i="7"/>
  <c r="GD4" i="19" s="1"/>
  <c r="GC2" i="12"/>
  <c r="GB5" i="12"/>
  <c r="GC4" i="12"/>
  <c r="GC5" i="12"/>
  <c r="T4" i="19"/>
  <c r="AO2" i="17"/>
  <c r="S2" i="19"/>
  <c r="FY4" i="20"/>
  <c r="FY5" i="20"/>
  <c r="FY2" i="20"/>
  <c r="FZ2" i="20"/>
  <c r="FZ4" i="20"/>
  <c r="FT4" i="17"/>
  <c r="FZ5" i="20"/>
  <c r="U2" i="20"/>
  <c r="U2" i="17"/>
  <c r="FW2" i="20"/>
  <c r="FV2" i="20"/>
  <c r="FU2" i="20"/>
  <c r="FT2" i="20"/>
  <c r="FS2" i="20"/>
  <c r="FP2" i="20"/>
  <c r="FO2" i="20"/>
  <c r="FN2" i="20"/>
  <c r="FM2" i="20"/>
  <c r="FL2" i="20"/>
  <c r="FK2" i="20"/>
  <c r="FJ2" i="20"/>
  <c r="FI2" i="20"/>
  <c r="FH2" i="20"/>
  <c r="FG2" i="20"/>
  <c r="FF2" i="20"/>
  <c r="FE2" i="20"/>
  <c r="FD2" i="20"/>
  <c r="FC2" i="20"/>
  <c r="FB2" i="20"/>
  <c r="FA2" i="20"/>
  <c r="EV2" i="20"/>
  <c r="EU2" i="20"/>
  <c r="ET2" i="20"/>
  <c r="ES2" i="20"/>
  <c r="EN2" i="20"/>
  <c r="EM2" i="20"/>
  <c r="EL2" i="20"/>
  <c r="EK2" i="20"/>
  <c r="EE2" i="20"/>
  <c r="ED2" i="20"/>
  <c r="DX2" i="20"/>
  <c r="DW2" i="20"/>
  <c r="DQ2" i="20"/>
  <c r="DP2" i="20"/>
  <c r="DO2" i="20"/>
  <c r="DN2" i="20"/>
  <c r="DM2" i="20"/>
  <c r="DL2" i="20"/>
  <c r="DK2" i="20"/>
  <c r="DJ2" i="20"/>
  <c r="DI2" i="20"/>
  <c r="DH2" i="20"/>
  <c r="DG2" i="20"/>
  <c r="DE2" i="20"/>
  <c r="DD2" i="20"/>
  <c r="DB2" i="20"/>
  <c r="CZ2" i="20"/>
  <c r="CY2" i="20"/>
  <c r="CX2" i="20"/>
  <c r="CW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AU2" i="20"/>
  <c r="AT2" i="20"/>
  <c r="AR2" i="20"/>
  <c r="AP2" i="20"/>
  <c r="AO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B2" i="20"/>
  <c r="A2" i="20"/>
  <c r="GB2" i="19"/>
  <c r="GA2" i="19"/>
  <c r="FZ2" i="19"/>
  <c r="FY2" i="19"/>
  <c r="FW2" i="19"/>
  <c r="FV2" i="19"/>
  <c r="FU2" i="19"/>
  <c r="FT2" i="19"/>
  <c r="FS2" i="19"/>
  <c r="FR2" i="19"/>
  <c r="FP2" i="19"/>
  <c r="FO2" i="19"/>
  <c r="FN2" i="19"/>
  <c r="FM2" i="19"/>
  <c r="FL2" i="19"/>
  <c r="FK2" i="19"/>
  <c r="FJ2" i="19"/>
  <c r="FI2" i="19"/>
  <c r="FH2" i="19"/>
  <c r="FG2" i="19"/>
  <c r="FF2" i="19"/>
  <c r="FE2" i="19"/>
  <c r="FD2" i="19"/>
  <c r="FC2" i="19"/>
  <c r="FB2" i="19"/>
  <c r="FA2" i="19"/>
  <c r="EV2" i="19"/>
  <c r="EU2" i="19"/>
  <c r="ET2" i="19"/>
  <c r="ES2" i="19"/>
  <c r="EN2" i="19"/>
  <c r="EM2" i="19"/>
  <c r="EL2" i="19"/>
  <c r="EK2" i="19"/>
  <c r="EE2" i="19"/>
  <c r="ED2" i="19"/>
  <c r="DX2" i="19"/>
  <c r="DW2" i="19"/>
  <c r="DQ2" i="19"/>
  <c r="DP2" i="19"/>
  <c r="DO2" i="19"/>
  <c r="DN2" i="19"/>
  <c r="DM2" i="19"/>
  <c r="DL2" i="19"/>
  <c r="DK2" i="19"/>
  <c r="DJ2" i="19"/>
  <c r="DI2" i="19"/>
  <c r="DH2" i="19"/>
  <c r="DG2" i="19"/>
  <c r="DE2" i="19"/>
  <c r="DD2" i="19"/>
  <c r="DB2" i="19"/>
  <c r="CZ2" i="19"/>
  <c r="CY2" i="19"/>
  <c r="CX2" i="19"/>
  <c r="CW2" i="19"/>
  <c r="CT2" i="19"/>
  <c r="CS2" i="19"/>
  <c r="CR2" i="19"/>
  <c r="CQ2" i="19"/>
  <c r="CP2" i="19"/>
  <c r="CO2" i="19"/>
  <c r="CN2" i="19"/>
  <c r="CM2" i="19"/>
  <c r="CL2" i="19"/>
  <c r="CK2" i="19"/>
  <c r="CJ2" i="19"/>
  <c r="CI2" i="19"/>
  <c r="CH2" i="19"/>
  <c r="CG2" i="19"/>
  <c r="CF2" i="19"/>
  <c r="CE2" i="19"/>
  <c r="CD2" i="19"/>
  <c r="CC2" i="19"/>
  <c r="CB2" i="19"/>
  <c r="CA2" i="19"/>
  <c r="BZ2" i="19"/>
  <c r="BY2" i="19"/>
  <c r="BX2" i="19"/>
  <c r="BW2" i="19"/>
  <c r="BV2" i="19"/>
  <c r="BU2" i="19"/>
  <c r="BT2" i="19"/>
  <c r="BS2" i="19"/>
  <c r="BR2" i="19"/>
  <c r="BO2" i="19"/>
  <c r="BN2" i="19"/>
  <c r="BK2" i="19"/>
  <c r="BJ2" i="19"/>
  <c r="BI2" i="19"/>
  <c r="BH2" i="19"/>
  <c r="AU2" i="19"/>
  <c r="AT2" i="19"/>
  <c r="AR2" i="19"/>
  <c r="AP2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C2" i="19"/>
  <c r="AB2" i="19"/>
  <c r="AA2" i="19"/>
  <c r="Z2" i="19"/>
  <c r="Y2" i="19"/>
  <c r="X2" i="19"/>
  <c r="W2" i="19"/>
  <c r="V2" i="19"/>
  <c r="U2" i="19"/>
  <c r="T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B2" i="19"/>
  <c r="A2" i="19"/>
  <c r="FH2" i="18"/>
  <c r="FG2" i="18"/>
  <c r="FF2" i="18"/>
  <c r="FD2" i="18"/>
  <c r="FC2" i="18"/>
  <c r="FB2" i="18"/>
  <c r="EM2" i="18"/>
  <c r="EL2" i="18"/>
  <c r="EK2" i="18"/>
  <c r="EE2" i="18"/>
  <c r="ED2" i="18"/>
  <c r="DX2" i="18"/>
  <c r="DW2" i="18"/>
  <c r="DQ2" i="18"/>
  <c r="DP2" i="18"/>
  <c r="CN2" i="18"/>
  <c r="BM2" i="18"/>
  <c r="BL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B2" i="18"/>
  <c r="A2" i="18"/>
  <c r="FT2" i="17"/>
  <c r="FS2" i="17"/>
  <c r="FQ2" i="17"/>
  <c r="FP2" i="17"/>
  <c r="FO2" i="17"/>
  <c r="FN2" i="17"/>
  <c r="FM2" i="17"/>
  <c r="FL2" i="17"/>
  <c r="FK2" i="17"/>
  <c r="FJ2" i="17"/>
  <c r="FI2" i="17"/>
  <c r="FH2" i="17"/>
  <c r="FG2" i="17"/>
  <c r="FE2" i="17"/>
  <c r="FD2" i="17"/>
  <c r="FC2" i="17"/>
  <c r="FB2" i="17"/>
  <c r="FA2" i="17"/>
  <c r="EV2" i="17"/>
  <c r="EU2" i="17"/>
  <c r="ET2" i="17"/>
  <c r="ES2" i="17"/>
  <c r="EN2" i="17"/>
  <c r="EM2" i="17"/>
  <c r="EL2" i="17"/>
  <c r="EK2" i="17"/>
  <c r="EE2" i="17"/>
  <c r="ED2" i="17"/>
  <c r="DX2" i="17"/>
  <c r="DW2" i="17"/>
  <c r="DQ2" i="17"/>
  <c r="DP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R2" i="17"/>
  <c r="AP2" i="17"/>
  <c r="AN2" i="17"/>
  <c r="AM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B2" i="17"/>
  <c r="A2" i="17"/>
  <c r="EZ3" i="20"/>
  <c r="EY3" i="20"/>
  <c r="EX3" i="20"/>
  <c r="EW3" i="20"/>
  <c r="EV3" i="20"/>
  <c r="ER3" i="20"/>
  <c r="EQ3" i="20"/>
  <c r="EP3" i="20"/>
  <c r="EO3" i="20"/>
  <c r="EN3" i="20"/>
  <c r="EJ3" i="20"/>
  <c r="EI3" i="20"/>
  <c r="EH3" i="20"/>
  <c r="EG3" i="20"/>
  <c r="EF3" i="20"/>
  <c r="EE3" i="20"/>
  <c r="EC3" i="20"/>
  <c r="EB3" i="20"/>
  <c r="EA3" i="20"/>
  <c r="DZ3" i="20"/>
  <c r="DY3" i="20"/>
  <c r="DX3" i="20"/>
  <c r="DV3" i="20"/>
  <c r="DU3" i="20"/>
  <c r="DT3" i="20"/>
  <c r="DS3" i="20"/>
  <c r="DR3" i="20"/>
  <c r="DQ3" i="20"/>
  <c r="DF3" i="20"/>
  <c r="DC3" i="20"/>
  <c r="DA3" i="20"/>
  <c r="CV3" i="20"/>
  <c r="CU3" i="20"/>
  <c r="CT3" i="20"/>
  <c r="AS3" i="20"/>
  <c r="AR3" i="20"/>
  <c r="AQ3" i="20"/>
  <c r="AP3" i="20"/>
  <c r="D3" i="20"/>
  <c r="C3" i="20"/>
  <c r="B3" i="20"/>
  <c r="EZ3" i="19"/>
  <c r="EY3" i="19"/>
  <c r="EX3" i="19"/>
  <c r="EW3" i="19"/>
  <c r="EV3" i="19"/>
  <c r="ER3" i="19"/>
  <c r="EQ3" i="19"/>
  <c r="EP3" i="19"/>
  <c r="EO3" i="19"/>
  <c r="EN3" i="19"/>
  <c r="EJ3" i="19"/>
  <c r="EI3" i="19"/>
  <c r="EH3" i="19"/>
  <c r="EG3" i="19"/>
  <c r="EF3" i="19"/>
  <c r="EE3" i="19"/>
  <c r="EC3" i="19"/>
  <c r="EB3" i="19"/>
  <c r="EA3" i="19"/>
  <c r="DZ3" i="19"/>
  <c r="DY3" i="19"/>
  <c r="DX3" i="19"/>
  <c r="DV3" i="19"/>
  <c r="DU3" i="19"/>
  <c r="DT3" i="19"/>
  <c r="DS3" i="19"/>
  <c r="DR3" i="19"/>
  <c r="DQ3" i="19"/>
  <c r="DF3" i="19"/>
  <c r="DC3" i="19"/>
  <c r="DA3" i="19"/>
  <c r="CV3" i="19"/>
  <c r="CU3" i="19"/>
  <c r="CT3" i="19"/>
  <c r="AS3" i="19"/>
  <c r="AR3" i="19"/>
  <c r="AQ3" i="19"/>
  <c r="AP3" i="19"/>
  <c r="D3" i="19"/>
  <c r="C3" i="19"/>
  <c r="B3" i="19"/>
  <c r="EJ3" i="18"/>
  <c r="EI3" i="18"/>
  <c r="EH3" i="18"/>
  <c r="EG3" i="18"/>
  <c r="EF3" i="18"/>
  <c r="EE3" i="18"/>
  <c r="EC3" i="18"/>
  <c r="EB3" i="18"/>
  <c r="EA3" i="18"/>
  <c r="DZ3" i="18"/>
  <c r="DY3" i="18"/>
  <c r="DX3" i="18"/>
  <c r="DV3" i="18"/>
  <c r="DU3" i="18"/>
  <c r="DT3" i="18"/>
  <c r="DS3" i="18"/>
  <c r="DR3" i="18"/>
  <c r="DQ3" i="18"/>
  <c r="D3" i="18"/>
  <c r="C3" i="18"/>
  <c r="B3" i="18"/>
  <c r="EZ3" i="17"/>
  <c r="EY3" i="17"/>
  <c r="EX3" i="17"/>
  <c r="EW3" i="17"/>
  <c r="EV3" i="17"/>
  <c r="ER3" i="17"/>
  <c r="EQ3" i="17"/>
  <c r="EP3" i="17"/>
  <c r="EO3" i="17"/>
  <c r="EN3" i="17"/>
  <c r="EJ3" i="17"/>
  <c r="EI3" i="17"/>
  <c r="EH3" i="17"/>
  <c r="EG3" i="17"/>
  <c r="EF3" i="17"/>
  <c r="EE3" i="17"/>
  <c r="EC3" i="17"/>
  <c r="EB3" i="17"/>
  <c r="EA3" i="17"/>
  <c r="DZ3" i="17"/>
  <c r="DY3" i="17"/>
  <c r="DX3" i="17"/>
  <c r="DV3" i="17"/>
  <c r="DU3" i="17"/>
  <c r="DT3" i="17"/>
  <c r="DS3" i="17"/>
  <c r="DR3" i="17"/>
  <c r="DQ3" i="17"/>
  <c r="AS3" i="17"/>
  <c r="AR3" i="17"/>
  <c r="AQ3" i="17"/>
  <c r="AP3" i="17"/>
  <c r="D3" i="17"/>
  <c r="C3" i="17"/>
  <c r="B3" i="17"/>
  <c r="U4" i="20"/>
  <c r="U4" i="17"/>
  <c r="FW4" i="20"/>
  <c r="FV4" i="20"/>
  <c r="FU4" i="20"/>
  <c r="FT4" i="20"/>
  <c r="FS4" i="20"/>
  <c r="FN4" i="20"/>
  <c r="FM4" i="20"/>
  <c r="FL4" i="20"/>
  <c r="FK4" i="20"/>
  <c r="FJ4" i="20"/>
  <c r="FI4" i="20"/>
  <c r="FH4" i="20"/>
  <c r="FG4" i="20"/>
  <c r="FF4" i="20"/>
  <c r="FE4" i="20"/>
  <c r="FD4" i="20"/>
  <c r="FC4" i="20"/>
  <c r="FB4" i="20"/>
  <c r="FA4" i="20"/>
  <c r="EY4" i="20"/>
  <c r="EV4" i="20"/>
  <c r="EU4" i="20"/>
  <c r="ET4" i="20"/>
  <c r="ES4" i="20"/>
  <c r="EQ4" i="20"/>
  <c r="EN4" i="20"/>
  <c r="EM4" i="20"/>
  <c r="EL4" i="20"/>
  <c r="EK4" i="20"/>
  <c r="EE4" i="20"/>
  <c r="ED4" i="20"/>
  <c r="DX4" i="20"/>
  <c r="DW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AU4" i="20"/>
  <c r="AT4" i="20"/>
  <c r="AP4" i="20"/>
  <c r="AO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A4" i="20"/>
  <c r="GB4" i="19"/>
  <c r="GA4" i="19"/>
  <c r="FZ4" i="19"/>
  <c r="FY4" i="19"/>
  <c r="FW4" i="19"/>
  <c r="FV4" i="19"/>
  <c r="FU4" i="19"/>
  <c r="FT4" i="19"/>
  <c r="FS4" i="19"/>
  <c r="FN4" i="19"/>
  <c r="FM4" i="19"/>
  <c r="FL4" i="19"/>
  <c r="FK4" i="19"/>
  <c r="FJ4" i="19"/>
  <c r="FI4" i="19"/>
  <c r="FH4" i="19"/>
  <c r="FG4" i="19"/>
  <c r="FF4" i="19"/>
  <c r="FE4" i="19"/>
  <c r="FD4" i="19"/>
  <c r="FC4" i="19"/>
  <c r="FB4" i="19"/>
  <c r="FA4" i="19"/>
  <c r="EY4" i="19"/>
  <c r="EV4" i="19"/>
  <c r="EU4" i="19"/>
  <c r="ET4" i="19"/>
  <c r="ES4" i="19"/>
  <c r="EQ4" i="19"/>
  <c r="EN4" i="19"/>
  <c r="EM4" i="19"/>
  <c r="EL4" i="19"/>
  <c r="EK4" i="19"/>
  <c r="EE4" i="19"/>
  <c r="ED4" i="19"/>
  <c r="DX4" i="19"/>
  <c r="DW4" i="19"/>
  <c r="DQ4" i="19"/>
  <c r="DP4" i="19"/>
  <c r="DO4" i="19"/>
  <c r="DN4" i="19"/>
  <c r="DM4" i="19"/>
  <c r="DL4" i="19"/>
  <c r="DK4" i="19"/>
  <c r="DJ4" i="19"/>
  <c r="DI4" i="19"/>
  <c r="DH4" i="19"/>
  <c r="DG4" i="19"/>
  <c r="DF4" i="19"/>
  <c r="DE4" i="19"/>
  <c r="DD4" i="19"/>
  <c r="DC4" i="19"/>
  <c r="DB4" i="19"/>
  <c r="DA4" i="19"/>
  <c r="CZ4" i="19"/>
  <c r="CY4" i="19"/>
  <c r="CX4" i="19"/>
  <c r="CW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O4" i="19"/>
  <c r="BN4" i="19"/>
  <c r="BK4" i="19"/>
  <c r="BJ4" i="19"/>
  <c r="BI4" i="19"/>
  <c r="BH4" i="19"/>
  <c r="AU4" i="19"/>
  <c r="AT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4" i="19"/>
  <c r="A4" i="19"/>
  <c r="FH4" i="18"/>
  <c r="FG4" i="18"/>
  <c r="FF4" i="18"/>
  <c r="FD4" i="18"/>
  <c r="FC4" i="18"/>
  <c r="FB4" i="18"/>
  <c r="EM4" i="18"/>
  <c r="EL4" i="18"/>
  <c r="EK4" i="18"/>
  <c r="EE4" i="18"/>
  <c r="ED4" i="18"/>
  <c r="DX4" i="18"/>
  <c r="DW4" i="18"/>
  <c r="DQ4" i="18"/>
  <c r="DP4" i="18"/>
  <c r="CN4" i="18"/>
  <c r="BM4" i="18"/>
  <c r="BL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A4" i="18"/>
  <c r="FS4" i="17"/>
  <c r="FN4" i="17"/>
  <c r="FM4" i="17"/>
  <c r="FL4" i="17"/>
  <c r="FK4" i="17"/>
  <c r="FJ4" i="17"/>
  <c r="FI4" i="17"/>
  <c r="FH4" i="17"/>
  <c r="FG4" i="17"/>
  <c r="FE4" i="17"/>
  <c r="FD4" i="17"/>
  <c r="FC4" i="17"/>
  <c r="FB4" i="17"/>
  <c r="FA4" i="17"/>
  <c r="EY4" i="17"/>
  <c r="EV4" i="17"/>
  <c r="EU4" i="17"/>
  <c r="ET4" i="17"/>
  <c r="ES4" i="17"/>
  <c r="EQ4" i="17"/>
  <c r="EN4" i="17"/>
  <c r="EM4" i="17"/>
  <c r="EL4" i="17"/>
  <c r="EK4" i="17"/>
  <c r="EE4" i="17"/>
  <c r="ED4" i="17"/>
  <c r="DX4" i="17"/>
  <c r="DW4" i="17"/>
  <c r="DQ4" i="17"/>
  <c r="DP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P4" i="17"/>
  <c r="AO4" i="17"/>
  <c r="AN4" i="17"/>
  <c r="AM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A4" i="17"/>
  <c r="U5" i="20"/>
  <c r="U5" i="17"/>
  <c r="FO5" i="17"/>
  <c r="FW5" i="20"/>
  <c r="FV5" i="20"/>
  <c r="FU5" i="20"/>
  <c r="FT5" i="20"/>
  <c r="FS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AU5" i="20"/>
  <c r="AT5" i="20"/>
  <c r="AS5" i="20"/>
  <c r="AR5" i="20"/>
  <c r="AQ5" i="20"/>
  <c r="AP5" i="20"/>
  <c r="AO5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5" i="20"/>
  <c r="A5" i="20"/>
  <c r="GB5" i="19"/>
  <c r="GA5" i="19"/>
  <c r="FZ5" i="19"/>
  <c r="FY5" i="19"/>
  <c r="FW5" i="19"/>
  <c r="FV5" i="19"/>
  <c r="FU5" i="19"/>
  <c r="FT5" i="19"/>
  <c r="FS5" i="19"/>
  <c r="FR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O5" i="19"/>
  <c r="BN5" i="19"/>
  <c r="BK5" i="19"/>
  <c r="BJ5" i="19"/>
  <c r="BI5" i="19"/>
  <c r="BH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/>
  <c r="A5" i="19"/>
  <c r="FH5" i="18"/>
  <c r="FG5" i="18"/>
  <c r="FF5" i="18"/>
  <c r="FD5" i="18"/>
  <c r="FC5" i="18"/>
  <c r="FB5" i="18"/>
  <c r="EM5" i="18"/>
  <c r="EL5" i="18"/>
  <c r="EK5" i="18"/>
  <c r="EJ5" i="18"/>
  <c r="EI5" i="18"/>
  <c r="EH5" i="18"/>
  <c r="EG5" i="18"/>
  <c r="EF5" i="18"/>
  <c r="EE5" i="18"/>
  <c r="ED5" i="18"/>
  <c r="EC5" i="18"/>
  <c r="EB5" i="18"/>
  <c r="EA5" i="18"/>
  <c r="DZ5" i="18"/>
  <c r="DY5" i="18"/>
  <c r="DX5" i="18"/>
  <c r="DW5" i="18"/>
  <c r="DV5" i="18"/>
  <c r="DU5" i="18"/>
  <c r="DT5" i="18"/>
  <c r="DS5" i="18"/>
  <c r="DR5" i="18"/>
  <c r="DQ5" i="18"/>
  <c r="DP5" i="18"/>
  <c r="CN5" i="18"/>
  <c r="BM5" i="18"/>
  <c r="BL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A5" i="18"/>
  <c r="FT5" i="17"/>
  <c r="FS5" i="17"/>
  <c r="FQ5" i="17"/>
  <c r="FP5" i="17"/>
  <c r="FN5" i="17"/>
  <c r="FM5" i="17"/>
  <c r="FL5" i="17"/>
  <c r="FK5" i="17"/>
  <c r="FJ5" i="17"/>
  <c r="FI5" i="17"/>
  <c r="FH5" i="17"/>
  <c r="FG5" i="17"/>
  <c r="FE5" i="17"/>
  <c r="FD5" i="17"/>
  <c r="FC5" i="17"/>
  <c r="FB5" i="17"/>
  <c r="FA5" i="17"/>
  <c r="EZ5" i="17"/>
  <c r="EY5" i="17"/>
  <c r="EX5" i="17"/>
  <c r="EW5" i="17"/>
  <c r="EV5" i="17"/>
  <c r="EU5" i="17"/>
  <c r="ET5" i="17"/>
  <c r="ES5" i="17"/>
  <c r="ER5" i="17"/>
  <c r="EQ5" i="17"/>
  <c r="EP5" i="17"/>
  <c r="EO5" i="17"/>
  <c r="EN5" i="17"/>
  <c r="EM5" i="17"/>
  <c r="EL5" i="17"/>
  <c r="EK5" i="17"/>
  <c r="EJ5" i="17"/>
  <c r="EI5" i="17"/>
  <c r="EH5" i="17"/>
  <c r="EG5" i="17"/>
  <c r="EF5" i="17"/>
  <c r="EE5" i="17"/>
  <c r="ED5" i="17"/>
  <c r="EC5" i="17"/>
  <c r="EB5" i="17"/>
  <c r="EA5" i="17"/>
  <c r="DZ5" i="17"/>
  <c r="DY5" i="17"/>
  <c r="DX5" i="17"/>
  <c r="DW5" i="17"/>
  <c r="DV5" i="17"/>
  <c r="DU5" i="17"/>
  <c r="DT5" i="17"/>
  <c r="DS5" i="17"/>
  <c r="DR5" i="17"/>
  <c r="DQ5" i="17"/>
  <c r="DP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/>
  <c r="A5" i="17"/>
  <c r="FY2" i="12"/>
  <c r="GB2" i="12"/>
  <c r="GA2" i="12"/>
  <c r="FZ2" i="12"/>
  <c r="GB4" i="12"/>
  <c r="GA4" i="12"/>
  <c r="FZ4" i="12"/>
  <c r="DD5" i="12"/>
  <c r="GA5" i="12"/>
  <c r="FZ5" i="12"/>
  <c r="FP5" i="12"/>
  <c r="FW2" i="12"/>
  <c r="G5" i="12"/>
  <c r="FY5" i="12"/>
  <c r="FW4" i="12"/>
  <c r="FW5" i="12"/>
  <c r="FY4" i="12"/>
  <c r="BD4" i="12"/>
  <c r="DA4" i="12"/>
  <c r="DB4" i="12"/>
  <c r="DM4" i="12"/>
  <c r="EG3" i="12"/>
  <c r="DQ4" i="12"/>
  <c r="FV4" i="12"/>
  <c r="EN4" i="12"/>
  <c r="EK2" i="12"/>
  <c r="ET2" i="12"/>
  <c r="FD2" i="12"/>
  <c r="DU5" i="12"/>
  <c r="DX5" i="12"/>
  <c r="EZ5" i="12"/>
  <c r="FQ5" i="12"/>
  <c r="EV5" i="12"/>
  <c r="FV5" i="12"/>
  <c r="FT5" i="12"/>
  <c r="CN4" i="12"/>
  <c r="BQ5" i="12"/>
  <c r="AS5" i="12"/>
  <c r="DC5" i="12"/>
  <c r="DH5" i="12"/>
  <c r="CX4" i="12"/>
  <c r="DD4" i="12"/>
  <c r="CR2" i="12"/>
  <c r="CU5" i="12"/>
  <c r="DN2" i="12"/>
  <c r="DL4" i="12"/>
  <c r="DO4" i="12"/>
  <c r="DO5" i="12"/>
  <c r="DY3" i="12"/>
  <c r="EI3" i="12"/>
  <c r="DS3" i="12"/>
  <c r="DU3" i="12"/>
  <c r="EQ3" i="12"/>
  <c r="EX3" i="12"/>
  <c r="EV3" i="12"/>
  <c r="DX4" i="12"/>
  <c r="EK4" i="12"/>
  <c r="FF4" i="12"/>
  <c r="EQ4" i="12"/>
  <c r="FU4" i="12"/>
  <c r="FH4" i="12"/>
  <c r="FB4" i="12"/>
  <c r="FC4" i="12"/>
  <c r="EE2" i="12"/>
  <c r="DO2" i="12"/>
  <c r="EU2" i="12"/>
  <c r="FH2" i="12"/>
  <c r="FN2" i="12"/>
  <c r="FE2" i="12"/>
  <c r="FM2" i="12"/>
  <c r="EV2" i="12"/>
  <c r="FB2" i="12"/>
  <c r="FV2" i="12"/>
  <c r="EE5" i="12"/>
  <c r="DZ5" i="12"/>
  <c r="DV5" i="12"/>
  <c r="EI5" i="12"/>
  <c r="EB5" i="12"/>
  <c r="EX5" i="12"/>
  <c r="FB5" i="12"/>
  <c r="FE5" i="12"/>
  <c r="ES5" i="12"/>
  <c r="EL5" i="12"/>
  <c r="EY5" i="12"/>
  <c r="EO5" i="12"/>
  <c r="ET5" i="12"/>
  <c r="FL5" i="12"/>
  <c r="BY5" i="12"/>
  <c r="CT5" i="12"/>
  <c r="CX2" i="12"/>
  <c r="DK2" i="12"/>
  <c r="DZ3" i="12"/>
  <c r="DQ3" i="12"/>
  <c r="EZ3" i="12"/>
  <c r="DP4" i="12"/>
  <c r="FD4" i="12"/>
  <c r="FS4" i="12"/>
  <c r="EM2" i="12"/>
  <c r="FA2" i="12"/>
  <c r="FP2" i="12"/>
  <c r="DR5" i="12"/>
  <c r="FS5" i="12"/>
  <c r="FU5" i="12"/>
  <c r="FH5" i="12"/>
  <c r="CK5" i="12"/>
  <c r="BP4" i="12"/>
  <c r="AL5" i="12"/>
  <c r="DA5" i="12"/>
  <c r="DG4" i="12"/>
  <c r="CW2" i="12"/>
  <c r="DB5" i="12"/>
  <c r="DJ5" i="12"/>
  <c r="DM2" i="12"/>
  <c r="DK4" i="12"/>
  <c r="DN5" i="12"/>
  <c r="DK5" i="12"/>
  <c r="EE3" i="12"/>
  <c r="DV3" i="12"/>
  <c r="EA3" i="12"/>
  <c r="EC3" i="12"/>
  <c r="EY3" i="12"/>
  <c r="ER3" i="12"/>
  <c r="EW3" i="12"/>
  <c r="ED4" i="12"/>
  <c r="EL4" i="12"/>
  <c r="FJ4" i="12"/>
  <c r="EU4" i="12"/>
  <c r="EM4" i="12"/>
  <c r="FL4" i="12"/>
  <c r="FI4" i="12"/>
  <c r="FG4" i="12"/>
  <c r="DQ2" i="12"/>
  <c r="DW2" i="12"/>
  <c r="FI2" i="12"/>
  <c r="FL2" i="12"/>
  <c r="FO2" i="12"/>
  <c r="FQ2" i="12"/>
  <c r="FR2" i="12"/>
  <c r="FC2" i="12"/>
  <c r="FF2" i="12"/>
  <c r="DP5" i="12"/>
  <c r="EK5" i="12"/>
  <c r="EF5" i="12"/>
  <c r="EA5" i="12"/>
  <c r="DW5" i="12"/>
  <c r="ED5" i="12"/>
  <c r="FC5" i="12"/>
  <c r="FR5" i="12"/>
  <c r="FI5" i="12"/>
  <c r="FG5" i="12"/>
  <c r="ER5" i="12"/>
  <c r="FF5" i="12"/>
  <c r="EM5" i="12"/>
  <c r="EW5" i="12"/>
  <c r="FN5" i="12"/>
  <c r="DH4" i="12"/>
  <c r="DJ4" i="12"/>
  <c r="DM5" i="12"/>
  <c r="EB3" i="12"/>
  <c r="EJ3" i="12"/>
  <c r="EP3" i="12"/>
  <c r="EV4" i="12"/>
  <c r="FN4" i="12"/>
  <c r="ES4" i="12"/>
  <c r="DX2" i="12"/>
  <c r="FK2" i="12"/>
  <c r="ES2" i="12"/>
  <c r="EC5" i="12"/>
  <c r="DY5" i="12"/>
  <c r="EQ5" i="12"/>
  <c r="EP5" i="12"/>
  <c r="CC5" i="12"/>
  <c r="BH4" i="12"/>
  <c r="CW4" i="12"/>
  <c r="DC4" i="12"/>
  <c r="DI5" i="12"/>
  <c r="CY4" i="12"/>
  <c r="DE4" i="12"/>
  <c r="DG5" i="12"/>
  <c r="DL2" i="12"/>
  <c r="DN4" i="12"/>
  <c r="DL5" i="12"/>
  <c r="DR3" i="12"/>
  <c r="DT3" i="12"/>
  <c r="DX3" i="12"/>
  <c r="EH3" i="12"/>
  <c r="EF3" i="12"/>
  <c r="EN3" i="12"/>
  <c r="EO3" i="12"/>
  <c r="DW4" i="12"/>
  <c r="EE4" i="12"/>
  <c r="FA4" i="12"/>
  <c r="FM4" i="12"/>
  <c r="FE4" i="12"/>
  <c r="EY4" i="12"/>
  <c r="FT4" i="12"/>
  <c r="ET4" i="12"/>
  <c r="FK4" i="12"/>
  <c r="DP2" i="12"/>
  <c r="ED2" i="12"/>
  <c r="EN2" i="12"/>
  <c r="FG2" i="12"/>
  <c r="FS2" i="12"/>
  <c r="FU2" i="12"/>
  <c r="FT2" i="12"/>
  <c r="EL2" i="12"/>
  <c r="FJ2" i="12"/>
  <c r="DT5" i="12"/>
  <c r="DQ5" i="12"/>
  <c r="EJ5" i="12"/>
  <c r="EG5" i="12"/>
  <c r="DS5" i="12"/>
  <c r="EH5" i="12"/>
  <c r="FM5" i="12"/>
  <c r="EU5" i="12"/>
  <c r="FO5" i="12"/>
  <c r="FK5" i="12"/>
  <c r="FA5" i="12"/>
  <c r="FJ5" i="12"/>
  <c r="EN5" i="12"/>
  <c r="FD5" i="12"/>
  <c r="B3" i="12"/>
  <c r="DH2" i="12"/>
  <c r="DD2" i="12"/>
  <c r="DA3" i="12"/>
  <c r="CY2" i="12"/>
  <c r="CU3" i="12"/>
  <c r="CG5" i="12"/>
  <c r="BX4" i="12"/>
  <c r="BM5" i="12"/>
  <c r="BA5" i="12"/>
  <c r="AK4" i="12"/>
  <c r="DF4" i="12"/>
  <c r="CZ2" i="12"/>
  <c r="CT3" i="12"/>
  <c r="DF3" i="12"/>
  <c r="CV3" i="12"/>
  <c r="CT4" i="12"/>
  <c r="DG2" i="12"/>
  <c r="DB2" i="12"/>
  <c r="CV5" i="12"/>
  <c r="DI4" i="12"/>
  <c r="CZ4" i="12"/>
  <c r="DC3" i="12"/>
  <c r="CO5" i="12"/>
  <c r="CF4" i="12"/>
  <c r="BU5" i="12"/>
  <c r="BI5" i="12"/>
  <c r="AV4" i="12"/>
  <c r="AC4" i="12"/>
  <c r="DE2" i="12"/>
  <c r="CX5" i="12"/>
  <c r="DJ2" i="12"/>
  <c r="CY5" i="12"/>
  <c r="CT2" i="12"/>
  <c r="DE5" i="12"/>
  <c r="CZ5" i="12"/>
  <c r="CS4" i="12"/>
  <c r="DF5" i="12"/>
  <c r="CW5" i="12"/>
  <c r="DI2" i="12"/>
  <c r="AD5" i="12"/>
  <c r="V5" i="12"/>
  <c r="N5" i="12"/>
  <c r="D4" i="12"/>
  <c r="CO4" i="12"/>
  <c r="CG4" i="12"/>
  <c r="BY4" i="12"/>
  <c r="BQ4" i="12"/>
  <c r="BI4" i="12"/>
  <c r="AX5" i="12"/>
  <c r="AP4" i="12"/>
  <c r="AH4" i="12"/>
  <c r="Z4" i="12"/>
  <c r="R4" i="12"/>
  <c r="J4" i="12"/>
  <c r="A5" i="12"/>
  <c r="CM5" i="12"/>
  <c r="CE5" i="12"/>
  <c r="BW5" i="12"/>
  <c r="BO5" i="12"/>
  <c r="CR5" i="12"/>
  <c r="CJ5" i="12"/>
  <c r="CB5" i="12"/>
  <c r="BT5" i="12"/>
  <c r="BL5" i="12"/>
  <c r="BF4" i="12"/>
  <c r="AZ4" i="12"/>
  <c r="AN5" i="12"/>
  <c r="A2" i="12"/>
  <c r="AQ3" i="12"/>
  <c r="AE2" i="12"/>
  <c r="AT2" i="12"/>
  <c r="BN2" i="12"/>
  <c r="CD2" i="12"/>
  <c r="BF2" i="12"/>
  <c r="BU2" i="12"/>
  <c r="CK2" i="12"/>
  <c r="AL2" i="12"/>
  <c r="Q2" i="12"/>
  <c r="AF2" i="12"/>
  <c r="AY2" i="12"/>
  <c r="BL2" i="12"/>
  <c r="CB2" i="12"/>
  <c r="BA2" i="12"/>
  <c r="J2" i="12"/>
  <c r="X2" i="12"/>
  <c r="AP2" i="12"/>
  <c r="BK2" i="12"/>
  <c r="CA2" i="12"/>
  <c r="CQ2" i="12"/>
  <c r="E2" i="12"/>
  <c r="U4" i="12"/>
  <c r="M4" i="12"/>
  <c r="B5" i="12"/>
  <c r="CL5" i="12"/>
  <c r="CD5" i="12"/>
  <c r="BV5" i="12"/>
  <c r="BN5" i="12"/>
  <c r="BE4" i="12"/>
  <c r="AW4" i="12"/>
  <c r="AM5" i="12"/>
  <c r="AE5" i="12"/>
  <c r="W5" i="12"/>
  <c r="O5" i="12"/>
  <c r="H4" i="12"/>
  <c r="B4" i="12"/>
  <c r="CL4" i="12"/>
  <c r="CD4" i="12"/>
  <c r="BV4" i="12"/>
  <c r="BN4" i="12"/>
  <c r="CQ4" i="12"/>
  <c r="CI4" i="12"/>
  <c r="CA4" i="12"/>
  <c r="BS4" i="12"/>
  <c r="BK4" i="12"/>
  <c r="BD5" i="12"/>
  <c r="AV5" i="12"/>
  <c r="W2" i="12"/>
  <c r="AS3" i="12"/>
  <c r="C3" i="12"/>
  <c r="AI2" i="12"/>
  <c r="AX2" i="12"/>
  <c r="BR2" i="12"/>
  <c r="CH2" i="12"/>
  <c r="BI2" i="12"/>
  <c r="BY2" i="12"/>
  <c r="CO2" i="12"/>
  <c r="AO2" i="12"/>
  <c r="U2" i="12"/>
  <c r="AK2" i="12"/>
  <c r="BD2" i="12"/>
  <c r="BP2" i="12"/>
  <c r="CF2" i="12"/>
  <c r="Z2" i="12"/>
  <c r="BE2" i="12"/>
  <c r="L2" i="12"/>
  <c r="AB2" i="12"/>
  <c r="AU2" i="12"/>
  <c r="BO2" i="12"/>
  <c r="CE2" i="12"/>
  <c r="CS5" i="12"/>
  <c r="R2" i="12"/>
  <c r="BG4" i="12"/>
  <c r="AY4" i="12"/>
  <c r="AO5" i="12"/>
  <c r="AH5" i="12"/>
  <c r="Z5" i="12"/>
  <c r="R5" i="12"/>
  <c r="J5" i="12"/>
  <c r="CK4" i="12"/>
  <c r="CC4" i="12"/>
  <c r="BU4" i="12"/>
  <c r="BM4" i="12"/>
  <c r="BB5" i="12"/>
  <c r="AT5" i="12"/>
  <c r="AL4" i="12"/>
  <c r="AD4" i="12"/>
  <c r="V4" i="12"/>
  <c r="N4" i="12"/>
  <c r="F5" i="12"/>
  <c r="CQ5" i="12"/>
  <c r="CI5" i="12"/>
  <c r="CA5" i="12"/>
  <c r="BS5" i="12"/>
  <c r="BK5" i="12"/>
  <c r="CN5" i="12"/>
  <c r="CF5" i="12"/>
  <c r="BX5" i="12"/>
  <c r="BP5" i="12"/>
  <c r="BH5" i="12"/>
  <c r="BC4" i="12"/>
  <c r="AU4" i="12"/>
  <c r="O2" i="12"/>
  <c r="AP3" i="12"/>
  <c r="AR3" i="12"/>
  <c r="AM2" i="12"/>
  <c r="BB2" i="12"/>
  <c r="BV2" i="12"/>
  <c r="CL2" i="12"/>
  <c r="BM2" i="12"/>
  <c r="CC2" i="12"/>
  <c r="CS2" i="12"/>
  <c r="I2" i="12"/>
  <c r="Y2" i="12"/>
  <c r="AN2" i="12"/>
  <c r="BG2" i="12"/>
  <c r="BT2" i="12"/>
  <c r="CJ2" i="12"/>
  <c r="AH2" i="12"/>
  <c r="B2" i="12"/>
  <c r="P2" i="12"/>
  <c r="AG2" i="12"/>
  <c r="AZ2" i="12"/>
  <c r="BS2" i="12"/>
  <c r="CI2" i="12"/>
  <c r="CR4" i="12"/>
  <c r="S2" i="12"/>
  <c r="BC5" i="12"/>
  <c r="AX4" i="12"/>
  <c r="AT4" i="12"/>
  <c r="AO4" i="12"/>
  <c r="AM4" i="12"/>
  <c r="AE4" i="12"/>
  <c r="BB4" i="12"/>
  <c r="AI4" i="12"/>
  <c r="AB5" i="12"/>
  <c r="BF5" i="12"/>
  <c r="AZ5" i="12"/>
  <c r="AU5" i="12"/>
  <c r="AQ5" i="12"/>
  <c r="AJ5" i="12"/>
  <c r="AG5" i="12"/>
  <c r="AA4" i="12"/>
  <c r="AK5" i="12"/>
  <c r="AJ4" i="12"/>
  <c r="AF5" i="12"/>
  <c r="AG4" i="12"/>
  <c r="AC5" i="12"/>
  <c r="AB4" i="12"/>
  <c r="Y5" i="12"/>
  <c r="T4" i="12"/>
  <c r="Q5" i="12"/>
  <c r="L4" i="12"/>
  <c r="I4" i="12"/>
  <c r="D5" i="12"/>
  <c r="E4" i="12"/>
  <c r="X5" i="12"/>
  <c r="S4" i="12"/>
  <c r="P5" i="12"/>
  <c r="K4" i="12"/>
  <c r="F4" i="12"/>
  <c r="C5" i="12"/>
  <c r="H2" i="12"/>
  <c r="X4" i="12"/>
  <c r="U5" i="12"/>
  <c r="P4" i="12"/>
  <c r="M5" i="12"/>
  <c r="G4" i="12"/>
  <c r="C4" i="12"/>
  <c r="W4" i="12"/>
  <c r="T5" i="12"/>
  <c r="O4" i="12"/>
  <c r="L5" i="12"/>
  <c r="I5" i="12"/>
  <c r="A4" i="12"/>
  <c r="CJ4" i="12"/>
  <c r="CB4" i="12"/>
  <c r="BT4" i="12"/>
  <c r="BL4" i="12"/>
  <c r="BE5" i="12"/>
  <c r="AW5" i="12"/>
  <c r="AN4" i="12"/>
  <c r="AF4" i="12"/>
  <c r="Y4" i="12"/>
  <c r="Q4" i="12"/>
  <c r="H5" i="12"/>
  <c r="CP5" i="12"/>
  <c r="CH5" i="12"/>
  <c r="BZ5" i="12"/>
  <c r="BR5" i="12"/>
  <c r="BJ5" i="12"/>
  <c r="BA4" i="12"/>
  <c r="AR5" i="12"/>
  <c r="AI5" i="12"/>
  <c r="AA5" i="12"/>
  <c r="S5" i="12"/>
  <c r="K5" i="12"/>
  <c r="E5" i="12"/>
  <c r="CP4" i="12"/>
  <c r="CH4" i="12"/>
  <c r="BZ4" i="12"/>
  <c r="BR4" i="12"/>
  <c r="BJ4" i="12"/>
  <c r="CM4" i="12"/>
  <c r="CE4" i="12"/>
  <c r="BW4" i="12"/>
  <c r="BO4" i="12"/>
  <c r="BG5" i="12"/>
  <c r="AY5" i="12"/>
  <c r="AP5" i="12"/>
  <c r="G2" i="12"/>
  <c r="D3" i="12"/>
  <c r="AA2" i="12"/>
  <c r="AR2" i="12"/>
  <c r="BJ2" i="12"/>
  <c r="BZ2" i="12"/>
  <c r="CP2" i="12"/>
  <c r="BQ2" i="12"/>
  <c r="CG2" i="12"/>
  <c r="AD2" i="12"/>
  <c r="M2" i="12"/>
  <c r="AC2" i="12"/>
  <c r="AV2" i="12"/>
  <c r="BH2" i="12"/>
  <c r="BX2" i="12"/>
  <c r="CN2" i="12"/>
  <c r="AW2" i="12"/>
  <c r="F2" i="12"/>
  <c r="T2" i="12"/>
  <c r="AJ2" i="12"/>
  <c r="BC2" i="12"/>
  <c r="BW2" i="12"/>
  <c r="CM2" i="12"/>
  <c r="N2" i="12"/>
  <c r="K2" i="12"/>
  <c r="V2" i="12"/>
  <c r="GD4" i="12" l="1"/>
  <c r="GD4" i="20"/>
</calcChain>
</file>

<file path=xl/sharedStrings.xml><?xml version="1.0" encoding="utf-8"?>
<sst xmlns="http://schemas.openxmlformats.org/spreadsheetml/2006/main" count="1515" uniqueCount="702">
  <si>
    <t>1. Schritt : Länderzahl in grünes Feld eintragen</t>
  </si>
  <si>
    <t>2. Schritt: Tabellenblatt anklicken</t>
  </si>
  <si>
    <t>Deutsch</t>
  </si>
  <si>
    <t>Bitte auswählen: 1</t>
  </si>
  <si>
    <t>English</t>
  </si>
  <si>
    <t>Please Select: 2</t>
  </si>
  <si>
    <t>Francais</t>
  </si>
  <si>
    <t>indisponible</t>
  </si>
  <si>
    <t>Italiano</t>
  </si>
  <si>
    <t>indisponibile</t>
  </si>
  <si>
    <t>Español</t>
  </si>
  <si>
    <t>estacionada</t>
  </si>
  <si>
    <t>Beispiel</t>
  </si>
  <si>
    <t>Materialstamm</t>
  </si>
  <si>
    <t>06106-874-0</t>
  </si>
  <si>
    <t>Materialstamm@dental-union.de</t>
  </si>
  <si>
    <t>N</t>
  </si>
  <si>
    <t>Karton</t>
  </si>
  <si>
    <t>Dental-Union GmbH</t>
  </si>
  <si>
    <t>Kochsalzlösung</t>
  </si>
  <si>
    <t>DE</t>
  </si>
  <si>
    <t>J</t>
  </si>
  <si>
    <t>DENT</t>
  </si>
  <si>
    <t>P</t>
  </si>
  <si>
    <t>de</t>
  </si>
  <si>
    <t>672617.00.00</t>
  </si>
  <si>
    <t>Y</t>
  </si>
  <si>
    <t>10x250ml</t>
  </si>
  <si>
    <t>Bayern</t>
  </si>
  <si>
    <t>Kochsalzlösung
25%</t>
  </si>
  <si>
    <t>Anhang</t>
  </si>
  <si>
    <t>SDB_Kochsalzlösung.pdf</t>
  </si>
  <si>
    <t>Kochsalzlösung.jpg</t>
  </si>
  <si>
    <t>Produktbeschreibung Kochsalzlösung.pdf</t>
  </si>
  <si>
    <t>Fachinformation Kochsalzlösung.pdf</t>
  </si>
  <si>
    <t>Beutel</t>
  </si>
  <si>
    <t>O-Ring</t>
  </si>
  <si>
    <t>keine</t>
  </si>
  <si>
    <t xml:space="preserve"> </t>
  </si>
  <si>
    <t>22.8 Einweisungspflichtig</t>
  </si>
  <si>
    <t>(J/N)</t>
  </si>
  <si>
    <t>abhängiges Feld</t>
  </si>
  <si>
    <t>Abformmaterial</t>
  </si>
  <si>
    <t>de,en</t>
  </si>
  <si>
    <t>I</t>
  </si>
  <si>
    <t>2x350ml</t>
  </si>
  <si>
    <t>Abformung</t>
  </si>
  <si>
    <t>Abformmaterial.jpg</t>
  </si>
  <si>
    <t>Handelsinformation_Abformmaterial.pdf</t>
  </si>
  <si>
    <t>Konformitätserklärung_Abformmaterial.pdf</t>
  </si>
  <si>
    <t>MDR</t>
  </si>
  <si>
    <t>++J01101L150702I7Z</t>
  </si>
  <si>
    <t>Isolierung</t>
  </si>
  <si>
    <t>L</t>
  </si>
  <si>
    <t>N-1234</t>
  </si>
  <si>
    <t>exempted according 'SP375 / 'A197</t>
  </si>
  <si>
    <t>Umweltgefärdender Stoff, fest, n.a.g.</t>
  </si>
  <si>
    <t>UN3077</t>
  </si>
  <si>
    <t>III</t>
  </si>
  <si>
    <t>M7</t>
  </si>
  <si>
    <t>(-)</t>
  </si>
  <si>
    <t>-</t>
  </si>
  <si>
    <t>100ml</t>
  </si>
  <si>
    <t>Flasche</t>
  </si>
  <si>
    <t>exempted</t>
  </si>
  <si>
    <t>SDB_Isolierung.pdf</t>
  </si>
  <si>
    <t>Isolierung.jpg</t>
  </si>
  <si>
    <t>Handelsinformation_Isolierung.pdf</t>
  </si>
  <si>
    <t>Artikelpass BVD für Lieferanten</t>
  </si>
  <si>
    <t>NEU</t>
  </si>
  <si>
    <t>1. Steuerzeichen, neuer Artikel beginnt</t>
  </si>
  <si>
    <t>2. Ansprechpartner</t>
  </si>
  <si>
    <t>3. Datum der Gültigkeit des Artikeldatensatzes</t>
  </si>
  <si>
    <t>4. Status</t>
  </si>
  <si>
    <t xml:space="preserve">4.1. Exakte Lieferanten-Artikelnummer des Vorgängerartikels </t>
  </si>
  <si>
    <t>4.2. Artikelveröffentlichung zugelassen ab</t>
  </si>
  <si>
    <t>4.3. Artikel lieferbar ab</t>
  </si>
  <si>
    <t>4.4. Verpackungsart des Artikels?</t>
  </si>
  <si>
    <t>5. Auslaufartikel</t>
  </si>
  <si>
    <t>5.1. Auslaufartikel lieferbar bis</t>
  </si>
  <si>
    <t>5.2. Exakte Lieferanten-Artikelnummer des Alternativartikels</t>
  </si>
  <si>
    <t>6. Lieferantenname</t>
  </si>
  <si>
    <t>7. Exakte Lieferanten-Artikelnummer</t>
  </si>
  <si>
    <t>8. Exakte Artikelbezeichnung</t>
  </si>
  <si>
    <t>9. Herstellername</t>
  </si>
  <si>
    <t>10. Exakte Hersteller-Artikelnummer</t>
  </si>
  <si>
    <t>11. Produktzulassung zum Vertrieb gemäß den einschlägigen gesetzlichen oder behördlichen Bestimmungen besteht für folgende Länder:</t>
  </si>
  <si>
    <t>12. CE-Kennzeichnung auf dem Produkt vorhanden [innen (i), außen (o)]?</t>
  </si>
  <si>
    <t>13. Hat das Produkt einen Barcode/UDI-DI?</t>
  </si>
  <si>
    <r>
      <t xml:space="preserve">13.1.1. GTIN / EAN - kleinste Verkaufseinheit
</t>
    </r>
    <r>
      <rPr>
        <sz val="11"/>
        <rFont val="Calibri"/>
        <family val="2"/>
        <scheme val="minor"/>
      </rPr>
      <t>(Global Trade Item Number / European Article Number)</t>
    </r>
  </si>
  <si>
    <r>
      <t xml:space="preserve">13.1.2. GTIN / EAN - Pack
</t>
    </r>
    <r>
      <rPr>
        <sz val="11"/>
        <rFont val="Calibri"/>
        <family val="2"/>
        <scheme val="minor"/>
      </rPr>
      <t>(Global Trade Item Number / European Article Number)</t>
    </r>
  </si>
  <si>
    <r>
      <t xml:space="preserve">13.1.3. GTIN / EAN - Karton
</t>
    </r>
    <r>
      <rPr>
        <sz val="11"/>
        <rFont val="Calibri"/>
        <family val="2"/>
        <scheme val="minor"/>
      </rPr>
      <t>(Global Trade Item Number / European Article Number)</t>
    </r>
  </si>
  <si>
    <r>
      <t xml:space="preserve">13.1.4. GTIN / EAN - Palette
</t>
    </r>
    <r>
      <rPr>
        <sz val="11"/>
        <rFont val="Calibri"/>
        <family val="2"/>
        <scheme val="minor"/>
      </rPr>
      <t>(Global Trade Item Number / European Article Number)</t>
    </r>
  </si>
  <si>
    <r>
      <t xml:space="preserve">13.2.1 HIBC - Kleinste Verkaufseinheit
</t>
    </r>
    <r>
      <rPr>
        <sz val="11"/>
        <rFont val="Calibri"/>
        <family val="2"/>
        <scheme val="minor"/>
      </rPr>
      <t>(Health Industry Bar Code)</t>
    </r>
  </si>
  <si>
    <r>
      <t xml:space="preserve">13.2.2 HIBC - Pack
</t>
    </r>
    <r>
      <rPr>
        <sz val="11"/>
        <rFont val="Calibri"/>
        <family val="2"/>
        <scheme val="minor"/>
      </rPr>
      <t>(Health Industry Bar Code)</t>
    </r>
  </si>
  <si>
    <r>
      <t xml:space="preserve">13.2.3 HIBC - Karton
</t>
    </r>
    <r>
      <rPr>
        <sz val="11"/>
        <rFont val="Calibri"/>
        <family val="2"/>
        <scheme val="minor"/>
      </rPr>
      <t>(Health Industry Bar Code)</t>
    </r>
  </si>
  <si>
    <r>
      <t xml:space="preserve">13.2.4 HIBC - Palette
</t>
    </r>
    <r>
      <rPr>
        <sz val="11"/>
        <rFont val="Calibri"/>
        <family val="2"/>
        <scheme val="minor"/>
      </rPr>
      <t>(Health Industry Bar Code)</t>
    </r>
  </si>
  <si>
    <r>
      <t xml:space="preserve">13.3. PPN </t>
    </r>
    <r>
      <rPr>
        <sz val="11"/>
        <rFont val="Calibri"/>
        <family val="2"/>
        <scheme val="minor"/>
      </rPr>
      <t>(Pharmacy Product Number)</t>
    </r>
  </si>
  <si>
    <r>
      <t xml:space="preserve">13.4. PZN DE </t>
    </r>
    <r>
      <rPr>
        <sz val="11"/>
        <rFont val="Calibri"/>
        <family val="2"/>
        <scheme val="minor"/>
      </rPr>
      <t>(Pharmazentralnummer)</t>
    </r>
  </si>
  <si>
    <t>14. eCl@ss-Code</t>
  </si>
  <si>
    <t>14.1. eCl@ss-Version</t>
  </si>
  <si>
    <t>15. In welchem Medizinbereich erfolgt die Anwendung des Artikels?</t>
  </si>
  <si>
    <t>16. Einsatzort des Produktes</t>
  </si>
  <si>
    <t>17. Ist Artikel ein Steril-Produkt?</t>
  </si>
  <si>
    <r>
      <t xml:space="preserve">18. Etikett/Produktverpackung ist sprachneutral
</t>
    </r>
    <r>
      <rPr>
        <sz val="11"/>
        <rFont val="Calibri"/>
        <family val="2"/>
        <scheme val="minor"/>
      </rPr>
      <t>(nur Eigenname und Piktogramme angedruckt)</t>
    </r>
  </si>
  <si>
    <t>18.1. Folgende Sprachen werden auf dem Etikett/Produktverpackung verwendet</t>
  </si>
  <si>
    <t>19. Wird eine Gebrauchsanweisung benötigt?</t>
  </si>
  <si>
    <t>19.1. Folgende Sprachen sind in der Gebrauchsanweisung enthalten:</t>
  </si>
  <si>
    <t>20. Hat der Artikel hat eine Beschränkung in den Lager- und Transporttemperaturen?</t>
  </si>
  <si>
    <t>20.1. Lagertemperatur</t>
  </si>
  <si>
    <t>20.2. Transporttemperatur</t>
  </si>
  <si>
    <t>20.3. Maximal zulässige Dauer der Transporttemperatur</t>
  </si>
  <si>
    <t>20.4. Artikel ist frostempfindlich</t>
  </si>
  <si>
    <t>21. Ist der Artikel ein Arzneimittel?</t>
  </si>
  <si>
    <t xml:space="preserve">21.1. Artikel ist ein Betäubungsmittel? </t>
  </si>
  <si>
    <t>21.2. Artikel ist ein Fertigarzneimittel?</t>
  </si>
  <si>
    <t>21.3. Artikel dient zum Ersatz oder zur Korrektur von Körperflüssigkeiten?</t>
  </si>
  <si>
    <t>21.4. Artikel ist nur zur Anwendung in der Zahnheilkunde?</t>
  </si>
  <si>
    <t>21.5. Artikel ist apothekenpflichtig?</t>
  </si>
  <si>
    <t>21.6. Artikel ist verschreibungs- pflichtig?</t>
  </si>
  <si>
    <t>21.7. Artikel ist freiverkäuflich?</t>
  </si>
  <si>
    <r>
      <t xml:space="preserve">21.8. Produkt unterliegt dem GKV-WSG vom 01.04.2007?
</t>
    </r>
    <r>
      <rPr>
        <sz val="11"/>
        <rFont val="Calibri"/>
        <family val="2"/>
        <scheme val="minor"/>
      </rPr>
      <t>(Gesetz zur Stärkung des Wettbewerbs in der gesetzlichen Krankenversicherung)</t>
    </r>
  </si>
  <si>
    <t>21.9. Vertrieb nur an Personen mit humanmedizinischer Grundausbildung?</t>
  </si>
  <si>
    <t>21.10. Arzneimittel ist für folgende Länder zugelassen:</t>
  </si>
  <si>
    <t xml:space="preserve">21.11. Zulassungsnummer des Arzneimittels </t>
  </si>
  <si>
    <t>22. Artikel ist ein Medizinprodukt?</t>
  </si>
  <si>
    <t xml:space="preserve">22.1. Klasse des Medizinproduktes </t>
  </si>
  <si>
    <r>
      <t>22.2. Produkt fällt unter die MPAV?
(</t>
    </r>
    <r>
      <rPr>
        <sz val="11"/>
        <rFont val="Calibri"/>
        <family val="2"/>
        <scheme val="minor"/>
      </rPr>
      <t>Medizinprodukte-Abgabeverordnung)</t>
    </r>
  </si>
  <si>
    <r>
      <t xml:space="preserve">22.3. Produkt ist Verbrauchsmaterial als Sprechstundenbedarf? 
</t>
    </r>
    <r>
      <rPr>
        <sz val="11"/>
        <rFont val="Calibri"/>
        <family val="2"/>
        <scheme val="minor"/>
      </rPr>
      <t>(nur Fluoridierungsprodukte)</t>
    </r>
  </si>
  <si>
    <t>23. Artikel ist ein Ersatzteil?</t>
  </si>
  <si>
    <t xml:space="preserve">23.1. Rücksendepflichtiger Reparatur-Austausch ? </t>
  </si>
  <si>
    <t>24. Artikel ist ein Biozid?</t>
  </si>
  <si>
    <r>
      <t xml:space="preserve">24.1 BAUA-Registriernummer
</t>
    </r>
    <r>
      <rPr>
        <sz val="11"/>
        <rFont val="Calibri"/>
        <family val="2"/>
        <scheme val="minor"/>
      </rPr>
      <t>(Bundesanstalt für Arbeitsschutz und Arbeitsmedizin)</t>
    </r>
  </si>
  <si>
    <t>25. Artikel ist ein Lebensmittel?</t>
  </si>
  <si>
    <t>26. Artikel ist ein Kosmetikprodukt?</t>
  </si>
  <si>
    <r>
      <t xml:space="preserve">27. VOC-Gehalt angeben
</t>
    </r>
    <r>
      <rPr>
        <sz val="11"/>
        <rFont val="Calibri"/>
        <family val="2"/>
        <scheme val="minor"/>
      </rPr>
      <t>(Flüchtige Organische Verbindungen)</t>
    </r>
  </si>
  <si>
    <t>28. Sicherheitsdatenblatt (SDB) vorhanden?</t>
  </si>
  <si>
    <t xml:space="preserve">28.1. Aktuelles Überarbeitungsdatum des Sicherheitsdatenblattes </t>
  </si>
  <si>
    <t>28.2. Artikel fällt unter die Chemikalien- Verbotsverordnung (ChemVerbotsV)?</t>
  </si>
  <si>
    <t xml:space="preserve">29. Artikel ist ein Gefahrgut? </t>
  </si>
  <si>
    <t>29.1. Artikel fällt unter Limited Quantity (LQ, Begrenzte Menge)</t>
  </si>
  <si>
    <t>29.2. Gefahrgutklasse nach ADR</t>
  </si>
  <si>
    <t>29.3. Benennung und Beschreibung lt. ADR-Tabelle</t>
  </si>
  <si>
    <t xml:space="preserve">29.4. UN-Nummer </t>
  </si>
  <si>
    <t>29.5. Nummer zur Kennzeichnung der Gefahr</t>
  </si>
  <si>
    <t>29.6. Beförderungs- kategorie</t>
  </si>
  <si>
    <t>29.7. Verpackungs- gruppe</t>
  </si>
  <si>
    <t>29.8. Abfallschlüssel (für Produkt)</t>
  </si>
  <si>
    <t>29.9. Lagerklasse</t>
  </si>
  <si>
    <t>29.10. Klassifizierungscode</t>
  </si>
  <si>
    <t>29.11. Tunnelbeschränkungs- code</t>
  </si>
  <si>
    <t>29.12. Gefahrzettel</t>
  </si>
  <si>
    <t>29.13. Inhalt pro Innenverpackung</t>
  </si>
  <si>
    <t>29.14. Verpackungsart</t>
  </si>
  <si>
    <t>29.15. Umwelt- gefährdung</t>
  </si>
  <si>
    <r>
      <t xml:space="preserve">29.16. Wassergefährdungsklasse </t>
    </r>
    <r>
      <rPr>
        <sz val="11"/>
        <rFont val="Calibri"/>
        <family val="2"/>
        <scheme val="minor"/>
      </rPr>
      <t>(WGK)</t>
    </r>
    <r>
      <rPr>
        <b/>
        <sz val="11"/>
        <rFont val="Calibri"/>
        <family val="2"/>
        <scheme val="minor"/>
      </rPr>
      <t xml:space="preserve"> in DE</t>
    </r>
  </si>
  <si>
    <r>
      <t xml:space="preserve">29.17. Produkt enthält per- oder teilfluorierte Kohlenwasserstoffe </t>
    </r>
    <r>
      <rPr>
        <sz val="11"/>
        <rFont val="Calibri"/>
        <family val="2"/>
        <scheme val="minor"/>
      </rPr>
      <t>(FKW und HFKW)</t>
    </r>
  </si>
  <si>
    <t>30. Verpackung hat eine von außen deutlich erkennbare Chargenkennzeichnung/LOT?</t>
  </si>
  <si>
    <t>31. Artikel hat eine Verfallszeit?</t>
  </si>
  <si>
    <t>31.1. Verpackung hat ein von außen deutlich erkennbares Verfalldatum?</t>
  </si>
  <si>
    <t>31.2. Verwendungszeit nach Anbruch auf der Verpackung angedruckt?</t>
  </si>
  <si>
    <t>31.3. Verpackung hat ein von außen deutlich erkennbares Herstelldatum?</t>
  </si>
  <si>
    <t>32. Artikel ist ein Gerät?</t>
  </si>
  <si>
    <r>
      <t>32.1. Exakte Maße des Gerätes</t>
    </r>
    <r>
      <rPr>
        <sz val="11"/>
        <rFont val="Calibri"/>
        <family val="2"/>
        <scheme val="minor"/>
      </rPr>
      <t xml:space="preserve"> (ohne Umverpackung)</t>
    </r>
  </si>
  <si>
    <t>32.2. Fassungsvermögen des Gerätes?</t>
  </si>
  <si>
    <t>32.3. Anwendungs-temperatur?</t>
  </si>
  <si>
    <t>32.4. Leistung?</t>
  </si>
  <si>
    <t>32.5. Techniker ist zur Installation notwendig?</t>
  </si>
  <si>
    <r>
      <t xml:space="preserve">32.6.1. Anzahl der angedruckten Serialnummern
</t>
    </r>
    <r>
      <rPr>
        <sz val="11"/>
        <rFont val="Calibri"/>
        <family val="2"/>
        <scheme val="minor"/>
      </rPr>
      <t>(Z. B. in einem Set)</t>
    </r>
    <r>
      <rPr>
        <b/>
        <sz val="11"/>
        <rFont val="Calibri"/>
        <family val="2"/>
        <scheme val="minor"/>
      </rPr>
      <t>?</t>
    </r>
  </si>
  <si>
    <r>
      <t xml:space="preserve">32.7.1. Artikel ist in Europa nach ElektroG </t>
    </r>
    <r>
      <rPr>
        <sz val="11"/>
        <rFont val="Calibri"/>
        <family val="2"/>
        <scheme val="minor"/>
      </rPr>
      <t xml:space="preserve">(WEEE) </t>
    </r>
    <r>
      <rPr>
        <b/>
        <sz val="11"/>
        <rFont val="Calibri"/>
        <family val="2"/>
        <scheme val="minor"/>
      </rPr>
      <t>registriert?</t>
    </r>
  </si>
  <si>
    <r>
      <t xml:space="preserve">32.7.2. Artikel ist registrierungspflichtig nach ElektroG </t>
    </r>
    <r>
      <rPr>
        <sz val="11"/>
        <rFont val="Calibri"/>
        <family val="2"/>
        <scheme val="minor"/>
      </rPr>
      <t>(WEEE)</t>
    </r>
    <r>
      <rPr>
        <b/>
        <sz val="11"/>
        <rFont val="Calibri"/>
        <family val="2"/>
        <scheme val="minor"/>
      </rPr>
      <t>?</t>
    </r>
  </si>
  <si>
    <t>32.8.1. Artikel ist in Deutschland nach dem BattG registriert?</t>
  </si>
  <si>
    <t>32.8.2. Batterie-/Akkutyp:</t>
  </si>
  <si>
    <t>32.8.3. Anzahl der Batterien/ Akkus:</t>
  </si>
  <si>
    <t>32.8.4. Batterien/ Akkus sind fest verbaut?</t>
  </si>
  <si>
    <t>33. Artikel hat Garantie oder Gewährleistung?</t>
  </si>
  <si>
    <t>33.1. Gewährleistungsdauer nach Lieferung an Handel:</t>
  </si>
  <si>
    <t>33.2. Gewährleistungsdauer nach Lieferung an unseren Kunden:</t>
  </si>
  <si>
    <t>33.3. Garantiedauer ab Lieferung an den Handel</t>
  </si>
  <si>
    <t>33.4. Garantiedauer nach Lieferung an unseren Kunden</t>
  </si>
  <si>
    <t>34. Verkaufsverpackung ist durch ein Duales System in Deutschland lizensiert?</t>
  </si>
  <si>
    <t>35. Mindest-bestellmenge</t>
  </si>
  <si>
    <t>36. Inhalt pro Einzelverpackung</t>
  </si>
  <si>
    <t>37. Größe und Gewicht der Einzelverpackung</t>
  </si>
  <si>
    <t>38. Artikel hat eine Umverpackung?</t>
  </si>
  <si>
    <t>38.1. Umverpackung darf geöffnet und der Artikel ohne diese versendet werden?</t>
  </si>
  <si>
    <t>38.2. Anzahl der Einzelpackungen pro Umverpackung</t>
  </si>
  <si>
    <t>38.3. Größe und Gewicht der Umverpackung inkl. der Einzelpackungen</t>
  </si>
  <si>
    <t>39. Gibt es Konfektionierungs-hinweise zu beachten?</t>
  </si>
  <si>
    <t>39.1. Konfektionierungs-hinweise aufführen</t>
  </si>
  <si>
    <t>39.2. Anzahl Artikel pro Palette</t>
  </si>
  <si>
    <t>39.3. Palettenhöhe</t>
  </si>
  <si>
    <r>
      <t xml:space="preserve">40. Zolltarif-Nr. / Warentarifnr.
</t>
    </r>
    <r>
      <rPr>
        <sz val="11"/>
        <rFont val="Calibri"/>
        <family val="2"/>
        <scheme val="minor"/>
      </rPr>
      <t>(8-11-stellig)</t>
    </r>
  </si>
  <si>
    <r>
      <t>41. Dual-Use-Artikel?
(</t>
    </r>
    <r>
      <rPr>
        <sz val="11"/>
        <rFont val="Calibri"/>
        <family val="2"/>
        <scheme val="minor"/>
      </rPr>
      <t>Nach EG-Dual-Use Verordnung)</t>
    </r>
  </si>
  <si>
    <t>42. Ursprungsland</t>
  </si>
  <si>
    <r>
      <t xml:space="preserve">43. Ursprungs-bundesland/-provinz </t>
    </r>
    <r>
      <rPr>
        <sz val="11"/>
        <rFont val="Calibri"/>
        <family val="2"/>
        <scheme val="minor"/>
      </rPr>
      <t>(falls zutreffend)</t>
    </r>
  </si>
  <si>
    <t>44. Artikel mit Präferenzursprungs-eigenschaft? (nur anwendbar innerhalb EU)</t>
  </si>
  <si>
    <t>45. Unverbindliche Preisempfehlung</t>
  </si>
  <si>
    <r>
      <t>45.1. Rabattgruppe</t>
    </r>
    <r>
      <rPr>
        <sz val="11"/>
        <rFont val="Calibri"/>
        <family val="2"/>
        <scheme val="minor"/>
      </rPr>
      <t xml:space="preserve"> (Zahn, Material, ...)</t>
    </r>
  </si>
  <si>
    <r>
      <t xml:space="preserve">46. Mehrwertsteuersatz für DE </t>
    </r>
    <r>
      <rPr>
        <sz val="11"/>
        <rFont val="Calibri"/>
        <family val="2"/>
        <scheme val="minor"/>
      </rPr>
      <t>(voll oder verringert)</t>
    </r>
  </si>
  <si>
    <t>47. Besonderheiten und sonstige weitere Informationen zum Artikel aufführen bzw. anhängen</t>
  </si>
  <si>
    <t>47.1. Dateiname des Sicherheitsdatenblattes
(SD)</t>
  </si>
  <si>
    <t>47.2. Dateiname des Bildes 
(BD)</t>
  </si>
  <si>
    <t>47.3. Dateiname der Produktbeschreibung (PB) oder Stückliste (SL)</t>
  </si>
  <si>
    <t>47.4. Dateiname der Arzneimittel-Fachinformation
(AF)</t>
  </si>
  <si>
    <t>47.5. Dateiname der Konformitätserklärung für Medizinprodukte 
(KM)</t>
  </si>
  <si>
    <t>48. Exklusivartikel</t>
  </si>
  <si>
    <t>48.1. Exklusivartikel 
(berechtigte Händler)</t>
  </si>
  <si>
    <t>49. Artikel unterliegt der Verordnung (EU) 2016/425 über Persönliche Schutzausrüstung?</t>
  </si>
  <si>
    <t xml:space="preserve">49.1. Kategorie der Persönlichen Schutzausrüstung </t>
  </si>
  <si>
    <t>50. Ist Artikel ein Set?</t>
  </si>
  <si>
    <t>22.4. MDR oder MDD Zulassung?</t>
  </si>
  <si>
    <t>22.5. Basis UDI-DI</t>
  </si>
  <si>
    <t>22.6. benannte Stelle</t>
  </si>
  <si>
    <t>22.7. Gültigkeit der Konformitätserklärung bis…</t>
  </si>
  <si>
    <t>2.1. Name</t>
  </si>
  <si>
    <t>2.2. Telefonnummer</t>
  </si>
  <si>
    <t>2.3. Email-Adresse</t>
  </si>
  <si>
    <t xml:space="preserve">20.1.1.
Min. </t>
  </si>
  <si>
    <t xml:space="preserve">20.1.2.
Max. </t>
  </si>
  <si>
    <t xml:space="preserve">20.2.1.
Min. </t>
  </si>
  <si>
    <t xml:space="preserve">20.2.2.
Max. </t>
  </si>
  <si>
    <t>32.1.1. Länge</t>
  </si>
  <si>
    <t>32.1.2. Breite</t>
  </si>
  <si>
    <t>32.1.3. Höhe</t>
  </si>
  <si>
    <t>32.6. Geräteserialnummer vorhanden?</t>
  </si>
  <si>
    <t xml:space="preserve">32.7. Ist der Artikel strombetrieben? </t>
  </si>
  <si>
    <t>32.8. Artikel enthält Batterien/Akkus?</t>
  </si>
  <si>
    <t>34.1.1. Kunststoff</t>
  </si>
  <si>
    <t>34.1.4. Glas</t>
  </si>
  <si>
    <t>34.1.5. Aluminium</t>
  </si>
  <si>
    <t>34.3.1. Kunststoff</t>
  </si>
  <si>
    <t>34.3.4. Glas</t>
  </si>
  <si>
    <t>34.3.5. Aluminium</t>
  </si>
  <si>
    <t>34.5.1. Kunststoff</t>
  </si>
  <si>
    <t>34.5.4. Glas</t>
  </si>
  <si>
    <t>34.5.5. Aluminium</t>
  </si>
  <si>
    <t xml:space="preserve">37.1. Länge </t>
  </si>
  <si>
    <t xml:space="preserve">37.2. Breite </t>
  </si>
  <si>
    <t>37.3. Höhe</t>
  </si>
  <si>
    <t xml:space="preserve">37.4. Bruttogewicht </t>
  </si>
  <si>
    <t xml:space="preserve">37.5. Nettogewicht </t>
  </si>
  <si>
    <t>38.3.1. Länge</t>
  </si>
  <si>
    <t>38.3.2. Breite</t>
  </si>
  <si>
    <t>38.3.3. Höhe</t>
  </si>
  <si>
    <t xml:space="preserve">38.3.4. Bruttogewicht </t>
  </si>
  <si>
    <t xml:space="preserve">38.3.5. Nettogewicht </t>
  </si>
  <si>
    <t>!Y</t>
  </si>
  <si>
    <t>Textfeld</t>
  </si>
  <si>
    <t>Datum (tt.mm.jjjj)</t>
  </si>
  <si>
    <t xml:space="preserve">N=Neuanlage 
A=Änderung 
Z=nicht mehr lieferbar </t>
  </si>
  <si>
    <t>alphanumerisch</t>
  </si>
  <si>
    <t>alphanumerisch
Wenn Hersteller = Lieferant, dann exakte Hersteller-Artikelnummer angeben.</t>
  </si>
  <si>
    <t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t>
  </si>
  <si>
    <t>Textfeld
Bitte ausfüllen, wenn Lieferant und Hersteller nicht identisch sind.</t>
  </si>
  <si>
    <t>Länder bitte durch Ländercodes nach ISO 3166 angeben und durch / voneinander trennen.</t>
  </si>
  <si>
    <t>(N/i/o</t>
  </si>
  <si>
    <t>numerisch</t>
  </si>
  <si>
    <t>(numerisch / N)</t>
  </si>
  <si>
    <t>Dental = DENT
Humanmedizin = MED
Veterinär = VET
durch / voneinander trennen</t>
  </si>
  <si>
    <t>P = Praxis
L = Labor 
B = beides</t>
  </si>
  <si>
    <t>Sprachen bitte durch Ländercode nach ISO 3166 angeben und durch / voneinander trennen.</t>
  </si>
  <si>
    <t>in °C</t>
  </si>
  <si>
    <t>in Stunden (h)</t>
  </si>
  <si>
    <t>(I, Is, Im, IIa, IIb, III, IVD)</t>
  </si>
  <si>
    <t>in Gramm (g) oder Prozent (%) Wenn vorhanden, bitte beides angeben (Bsp. 3g / 15%)</t>
  </si>
  <si>
    <t>(J/N)
Wenn ein SDB vorhanden ist, dann muss dieses zwingend als Anhang mitgeschickt werden!</t>
  </si>
  <si>
    <t>Bitte vollständigen Code inkl. Klammern angeben.</t>
  </si>
  <si>
    <t>numerisch
in Milliliter (ml) oder Gramm (g)</t>
  </si>
  <si>
    <t xml:space="preserve">Fass, Kanister, Kiste, Sack, 
Kombinationsverpackung, 
Feinstblechverpackung
</t>
  </si>
  <si>
    <t>in Millimeter (mm)</t>
  </si>
  <si>
    <t>in Liter (L)</t>
  </si>
  <si>
    <t>in Watt (W)</t>
  </si>
  <si>
    <t>Textfeld
(LiIon, LiMetall, Blei, NiCa, etc.)</t>
  </si>
  <si>
    <t>in Monaten</t>
  </si>
  <si>
    <t>in Gramm (g)</t>
  </si>
  <si>
    <t>in Stück</t>
  </si>
  <si>
    <t>numerisch in Millimeter (mm)</t>
  </si>
  <si>
    <t>numerisch in Gramm (g)</t>
  </si>
  <si>
    <t>numerisch, 8-11-stellig</t>
  </si>
  <si>
    <t>zweistellig, gemäß ISO 3166, Alpha 2</t>
  </si>
  <si>
    <t>in EUR</t>
  </si>
  <si>
    <t>in Prozent (%)</t>
  </si>
  <si>
    <r>
      <t xml:space="preserve">Text und/oder Anhang / N
(z.B. </t>
    </r>
    <r>
      <rPr>
        <i/>
        <u/>
        <sz val="9"/>
        <rFont val="Calibri"/>
        <family val="2"/>
        <scheme val="minor"/>
      </rPr>
      <t>latexhaltig</t>
    </r>
    <r>
      <rPr>
        <i/>
        <sz val="9"/>
        <rFont val="Calibri"/>
        <family val="2"/>
        <scheme val="minor"/>
      </rPr>
      <t>)</t>
    </r>
  </si>
  <si>
    <t>Originalname der SD Datei des Herstellers</t>
  </si>
  <si>
    <t>Aufbau der Dateinamen: "Abkürzung Anhangart_Ländercode nach ISO 3166_Artikelnummer_Ausgabedatum in Format jjjjmmdd"
Abkürzungen der Anhangarten: Bild = BD, Produktbeschreibung = PB, Stückliste = SL; Arzneimittel-Fachinformationen = AF, Konformitätserklärung = KM</t>
  </si>
  <si>
    <t>Händler bitte durch / voneinander trennen. (Bsp. DU/HSC/PD/NWD/M&amp;W)</t>
  </si>
  <si>
    <t>(I, II, III)</t>
  </si>
  <si>
    <t>MDR oder MDD</t>
  </si>
  <si>
    <t>Alphanumerisch</t>
  </si>
  <si>
    <t>tt.mm.jjjj</t>
  </si>
  <si>
    <t>Nur für csv-Konvertierung erforderlich</t>
  </si>
  <si>
    <t>Pflichtfeld</t>
  </si>
  <si>
    <t>Pflichtfeld 
Wenn "N" oder "A", bitte auch die folgenden Felder ausfüllen (graue Spaltenüberschriften).</t>
  </si>
  <si>
    <t>Pflichtfeld 
Wenn "J", bitte auch die folgenden Felder ausfüllen (graue Spaltenüberschriften).</t>
  </si>
  <si>
    <t>Pflichtfeld
Bei "J", bitte rechts alle für diesen Artikel vorhandenen Barcodes angeben.</t>
  </si>
  <si>
    <t>Pflichtfeld 
Wenn "J", bitte Code eingeben und das folgende (graue) Feld ausfüllen</t>
  </si>
  <si>
    <t xml:space="preserve">Pflichtfeld 
</t>
  </si>
  <si>
    <t>Pflichtfeld 
Wenn "N", bitte auch das folgende Feld ausfüllen (graue Spaltenüberschrift).</t>
  </si>
  <si>
    <t>Pflichtfeld 
Wenn "J", bitte auch das folgende Feld ausfüllen (graue Spaltenüberschrift).</t>
  </si>
  <si>
    <r>
      <t xml:space="preserve">Pflichtfeld 
Wenn "J", bitte auch die folgenden Felder ausfüllen (graue Spaltenüberschriften) </t>
    </r>
    <r>
      <rPr>
        <b/>
        <sz val="9"/>
        <color rgb="FFFF0000"/>
        <rFont val="Calibri"/>
        <family val="2"/>
        <scheme val="minor"/>
      </rPr>
      <t>sowie Spalte 181 ff.</t>
    </r>
  </si>
  <si>
    <t>Pflichtfeld 
Wenn "J", bitte auch die folgenden Felder ausfüllen (graue Spaltenüberschriften)</t>
  </si>
  <si>
    <t>Pflichtfeld - Bitte die Felder 34.1 -34.6. komplett ausfüllen, wenn Antwort "N" oder wenn der Artikel auch außerhalb DE zugelassen ist.</t>
  </si>
  <si>
    <t>Pflichtfeld 
Wenn "J", bitte die folgenden Felder (graue Spaltenüberschriften) ausfüllen.</t>
  </si>
  <si>
    <t>Kannfeld</t>
  </si>
  <si>
    <t>Pflichtfeld
Bitte Besonderheiten aufführen bzw. bei Anhängen die Dateinamen in den folgenden Feldern eintragen (graue Spaltenüberschriften).</t>
  </si>
  <si>
    <t>abhängiges Feld, wenn ein SET vorliegt, bitte alle relvanten SDB durch "/" getrennt aufführen</t>
  </si>
  <si>
    <t>abhängiges Feld, wenn ein SET vorliegt, bitte alle relvanten Bilder durch "/" getrennt aufführen</t>
  </si>
  <si>
    <t>abhängiges Feld, wenn ein SET vorliegt, bitte Name der Stückliste oder Produktbeschreibung angeben</t>
  </si>
  <si>
    <t>Pflichtfeld 
Wenn "J", bitte in 47.1. alle relevanten SDB aufführen und in 47.3. Name der Stückliste/ Produktbeschreibung angeben</t>
  </si>
  <si>
    <t>Article Passport BVD for Supplier</t>
  </si>
  <si>
    <t>1. Control character, new item data set begins</t>
  </si>
  <si>
    <t>2. Contact person</t>
  </si>
  <si>
    <t>3. Date of validity of item data set</t>
  </si>
  <si>
    <t>4.1. Exact supplier item number of predecessor product</t>
  </si>
  <si>
    <t>4.2. Item publication permitted from</t>
  </si>
  <si>
    <t>4.3. Item deliverable from</t>
  </si>
  <si>
    <t>4.4. Type of packaging of the item?</t>
  </si>
  <si>
    <t>5. Discontinued item</t>
  </si>
  <si>
    <t>5.1. Discontinued item deliverable until</t>
  </si>
  <si>
    <t>5.2. Exact supplier item number of alternative item</t>
  </si>
  <si>
    <t>6. Name of supplier</t>
  </si>
  <si>
    <t>7. Exact supplier item number</t>
  </si>
  <si>
    <t>8. Exact item name</t>
  </si>
  <si>
    <t>9. Name of Manufacturer</t>
  </si>
  <si>
    <t>10. Exact manufacturer item number</t>
  </si>
  <si>
    <t>11. Product is approved for distribution, in accordance with applicable legal and/or regulatory requirements, in the following countries:</t>
  </si>
  <si>
    <t>12. Is product CE certified [CE marking inside (i), outside (o)]?</t>
  </si>
  <si>
    <t>13. Does product have barcode?</t>
  </si>
  <si>
    <r>
      <t xml:space="preserve">13.1.1. GTIN / EAN - Smallest sales unit
</t>
    </r>
    <r>
      <rPr>
        <sz val="11"/>
        <color rgb="FF0000FF"/>
        <rFont val="Calibri"/>
        <family val="2"/>
        <scheme val="minor"/>
      </rPr>
      <t>(Global Trade Item Number / European Article Number)</t>
    </r>
  </si>
  <si>
    <r>
      <t xml:space="preserve">13.1.2. GTIN / EAN - Pack
</t>
    </r>
    <r>
      <rPr>
        <sz val="11"/>
        <color rgb="FF0000FF"/>
        <rFont val="Calibri"/>
        <family val="2"/>
        <scheme val="minor"/>
      </rPr>
      <t>(Global Trade Item Number / European Article Number)</t>
    </r>
  </si>
  <si>
    <r>
      <t xml:space="preserve">13.1.3. GTIN / EAN - Box
</t>
    </r>
    <r>
      <rPr>
        <sz val="11"/>
        <color rgb="FF0000FF"/>
        <rFont val="Calibri"/>
        <family val="2"/>
        <scheme val="minor"/>
      </rPr>
      <t>(Global Trade Item Number / European Article Number)</t>
    </r>
  </si>
  <si>
    <r>
      <t xml:space="preserve">13.1.4. GTIN / EAN - Pallet
</t>
    </r>
    <r>
      <rPr>
        <sz val="11"/>
        <color rgb="FF0000FF"/>
        <rFont val="Calibri"/>
        <family val="2"/>
        <scheme val="minor"/>
      </rPr>
      <t>(Global Trade Item Number / European Article Number)</t>
    </r>
  </si>
  <si>
    <r>
      <t xml:space="preserve">13.2.1. HIBC - Smallest sales unit
</t>
    </r>
    <r>
      <rPr>
        <sz val="11"/>
        <color rgb="FF0000FF"/>
        <rFont val="Calibri"/>
        <family val="2"/>
        <scheme val="minor"/>
      </rPr>
      <t>(Health Industry Bar Code)</t>
    </r>
  </si>
  <si>
    <r>
      <t xml:space="preserve">13.2.2. HIBC - Pack
</t>
    </r>
    <r>
      <rPr>
        <sz val="11"/>
        <color rgb="FF0000FF"/>
        <rFont val="Calibri"/>
        <family val="2"/>
        <scheme val="minor"/>
      </rPr>
      <t>(Health Industry Bar Code)</t>
    </r>
  </si>
  <si>
    <r>
      <t xml:space="preserve">13.2.3. HIBC - Box
</t>
    </r>
    <r>
      <rPr>
        <sz val="11"/>
        <color rgb="FF0000FF"/>
        <rFont val="Calibri"/>
        <family val="2"/>
        <scheme val="minor"/>
      </rPr>
      <t>(Health Industry Bar Code)</t>
    </r>
  </si>
  <si>
    <r>
      <t xml:space="preserve">13.2.4. HIBC - Pallet
</t>
    </r>
    <r>
      <rPr>
        <sz val="11"/>
        <color rgb="FF0000FF"/>
        <rFont val="Calibri"/>
        <family val="2"/>
        <scheme val="minor"/>
      </rPr>
      <t>(Health Industry Bar Code)</t>
    </r>
  </si>
  <si>
    <r>
      <t xml:space="preserve">13.3. PPN </t>
    </r>
    <r>
      <rPr>
        <sz val="11"/>
        <color rgb="FF0000FF"/>
        <rFont val="Calibri"/>
        <family val="2"/>
        <scheme val="minor"/>
      </rPr>
      <t>(Pharmacy Product Number)</t>
    </r>
  </si>
  <si>
    <r>
      <t xml:space="preserve">13.4. PZN </t>
    </r>
    <r>
      <rPr>
        <sz val="11"/>
        <color rgb="FF0000FF"/>
        <rFont val="Calibri"/>
        <family val="2"/>
        <scheme val="minor"/>
      </rPr>
      <t>(German Central Pharmaceutical Number)</t>
    </r>
  </si>
  <si>
    <t>14. eCl@ss code</t>
  </si>
  <si>
    <t>14.1. eCl@ss version</t>
  </si>
  <si>
    <t>15. Please indicate in which medical category the item is used.</t>
  </si>
  <si>
    <t>16. Product usage site</t>
  </si>
  <si>
    <t>17. Is item a sterile product?</t>
  </si>
  <si>
    <r>
      <t xml:space="preserve">18. Label/Original product packaging is language-neutral </t>
    </r>
    <r>
      <rPr>
        <sz val="11"/>
        <color rgb="FF0000FF"/>
        <rFont val="Calibri"/>
        <family val="2"/>
        <scheme val="minor"/>
      </rPr>
      <t>(only name and pictorial markings)</t>
    </r>
  </si>
  <si>
    <t>18.1. Following languages are used on the label/product packaging</t>
  </si>
  <si>
    <t>19. Does the product require directions for use?</t>
  </si>
  <si>
    <t>19.1. The directions for use are in the following languages:</t>
  </si>
  <si>
    <t>20. Is item subject to strorage and/or transport temperature limits?</t>
  </si>
  <si>
    <t xml:space="preserve">20.1. Storage temperature </t>
  </si>
  <si>
    <t xml:space="preserve">20.2. Transport temperature </t>
  </si>
  <si>
    <t>20.3. Maximum allowed duration of transport temperature</t>
  </si>
  <si>
    <t>20.4. Item is frost-sensitive</t>
  </si>
  <si>
    <t xml:space="preserve">21. Is the item a medicinal product? </t>
  </si>
  <si>
    <t xml:space="preserve">21.1. Item is an anaesthetic? </t>
  </si>
  <si>
    <t>21.2. Item is a finished medicinal product?</t>
  </si>
  <si>
    <t>21.3. Item is used for replacement of body fluids or correction of body fluid deficits?</t>
  </si>
  <si>
    <t>21.4. Item is used only in dentistry?</t>
  </si>
  <si>
    <t>21.5. Item is a pharmacy-only product?</t>
  </si>
  <si>
    <t>21.6. Item is a prescription-only product?</t>
  </si>
  <si>
    <t>21.7. Item is available over-the-counter (OTC)?</t>
  </si>
  <si>
    <r>
      <t xml:space="preserve">21.8. Product is subject to GKV-WSG </t>
    </r>
    <r>
      <rPr>
        <sz val="11"/>
        <color rgb="FF0000FF"/>
        <rFont val="Calibri"/>
        <family val="2"/>
        <scheme val="minor"/>
      </rPr>
      <t>(German Act to Strengthen Competition in SHI)</t>
    </r>
    <r>
      <rPr>
        <b/>
        <sz val="11"/>
        <color rgb="FF0000FF"/>
        <rFont val="Calibri"/>
        <family val="2"/>
        <scheme val="minor"/>
      </rPr>
      <t xml:space="preserve"> of April 1, 2007?</t>
    </r>
  </si>
  <si>
    <t>21.9. Item only be distributed to persons with basic training in human medicine?</t>
  </si>
  <si>
    <t>21.10. Item is officially approved (authorised) for the following countries:</t>
  </si>
  <si>
    <t xml:space="preserve">21.11. Marketing authorisation number of the medicinal product </t>
  </si>
  <si>
    <t>22. Item is a medical device?</t>
  </si>
  <si>
    <t>22.1. Please indicate medical device class</t>
  </si>
  <si>
    <r>
      <t xml:space="preserve">22.2. Item is subject to the MPAV?
</t>
    </r>
    <r>
      <rPr>
        <sz val="11"/>
        <color rgb="FF0000FF"/>
        <rFont val="Calibri"/>
        <family val="2"/>
        <scheme val="minor"/>
      </rPr>
      <t>(German Ordinance on the Sale of Medical Devices)</t>
    </r>
  </si>
  <si>
    <r>
      <t xml:space="preserve">22.3. Item falls into the category of consumable supplies for so-called consultation overhead? </t>
    </r>
    <r>
      <rPr>
        <sz val="11"/>
        <color rgb="FF0000FF"/>
        <rFont val="Calibri"/>
        <family val="2"/>
        <scheme val="minor"/>
      </rPr>
      <t>(only Fluoridising Items)</t>
    </r>
  </si>
  <si>
    <t>23. Item is a spare part?</t>
  </si>
  <si>
    <t>23.1. Obligatory return to manufacturer for repair-exchange?</t>
  </si>
  <si>
    <t>24. Item is a biocide?</t>
  </si>
  <si>
    <r>
      <t xml:space="preserve">24.1 BAUA Registration Number
</t>
    </r>
    <r>
      <rPr>
        <sz val="11"/>
        <color rgb="FF0000FF"/>
        <rFont val="Calibri"/>
        <family val="2"/>
        <scheme val="minor"/>
      </rPr>
      <t>(German Federal Institute for Occupational Safety and Health)</t>
    </r>
  </si>
  <si>
    <t>25. Item is a food item?</t>
  </si>
  <si>
    <t>26. Item is a cosmetic product?</t>
  </si>
  <si>
    <r>
      <t xml:space="preserve">27. Indicate VOC content
</t>
    </r>
    <r>
      <rPr>
        <sz val="11"/>
        <color rgb="FF0000FF"/>
        <rFont val="Calibri"/>
        <family val="2"/>
        <scheme val="minor"/>
      </rPr>
      <t>(Volatile Organic Compounds)</t>
    </r>
  </si>
  <si>
    <t>28. Safety data sheet (SDS) available?</t>
  </si>
  <si>
    <t>28.1. Last revision date of safety data sheet</t>
  </si>
  <si>
    <t>28.2. Item is subject to German Chemicals Prohibition Ordinance (ChemVerbotsV)?</t>
  </si>
  <si>
    <t>29. Item is a dangerous good?</t>
  </si>
  <si>
    <t>29.1. Item is subject to Limited Quantity provision</t>
  </si>
  <si>
    <t>29.2. Dangerous goods class according to ADR</t>
  </si>
  <si>
    <t>29.3. Name and description according to ADR table</t>
  </si>
  <si>
    <t>29.4. UN number</t>
  </si>
  <si>
    <t>29.5. Number indicating degree of danger</t>
  </si>
  <si>
    <t>29.6. Transport category</t>
  </si>
  <si>
    <t>29.7. Packing group</t>
  </si>
  <si>
    <t>29.8. Waste disposal code</t>
  </si>
  <si>
    <t>29.9. Storage category</t>
  </si>
  <si>
    <t>29.10. Classification code</t>
  </si>
  <si>
    <t>29.11. Tunnel restriction code</t>
  </si>
  <si>
    <t>29.12. Hazard label</t>
  </si>
  <si>
    <t xml:space="preserve">29.13. Contents per inner packaging </t>
  </si>
  <si>
    <t>29.14. Type of packaging</t>
  </si>
  <si>
    <t>29.15. Environmental risk</t>
  </si>
  <si>
    <r>
      <t xml:space="preserve">29.16. Water hazard class in Germany </t>
    </r>
    <r>
      <rPr>
        <sz val="11"/>
        <color rgb="FF0000FF"/>
        <rFont val="Calibri"/>
        <family val="2"/>
        <scheme val="minor"/>
      </rPr>
      <t xml:space="preserve">(WGK) </t>
    </r>
  </si>
  <si>
    <r>
      <t>29.17. Product contains perflourinated or partly flourinated hydrocarbons</t>
    </r>
    <r>
      <rPr>
        <sz val="11"/>
        <color rgb="FF0000FF"/>
        <rFont val="Calibri"/>
        <family val="2"/>
        <scheme val="minor"/>
      </rPr>
      <t xml:space="preserve"> (PFCs and HFCs)</t>
    </r>
  </si>
  <si>
    <t>30. Batch identification/LOT number on packaging is clearly recognizable from the outside?</t>
  </si>
  <si>
    <t>31. Item has a maximum usability period?</t>
  </si>
  <si>
    <t>31.1. Date of expiry is clearly indicated on the outside of the packaging?</t>
  </si>
  <si>
    <t>31.2. Period of usability after opening is printed on the packaging?</t>
  </si>
  <si>
    <t>31.3. Date of manufacture is clearly visible on the outside of the packaging?</t>
  </si>
  <si>
    <t>32. Item is a device</t>
  </si>
  <si>
    <r>
      <t>32.1. Exact dimensions of the device</t>
    </r>
    <r>
      <rPr>
        <sz val="11"/>
        <color rgb="FF0000FF"/>
        <rFont val="Calibri"/>
        <family val="2"/>
        <scheme val="minor"/>
      </rPr>
      <t xml:space="preserve"> (without outer packaging)</t>
    </r>
  </si>
  <si>
    <t>32.2. Holding capacity of the device?</t>
  </si>
  <si>
    <t>32.3. Application temperature</t>
  </si>
  <si>
    <t>32.4. Power consumption/output</t>
  </si>
  <si>
    <t>32.5. Technician needed for installation?</t>
  </si>
  <si>
    <r>
      <t xml:space="preserve">32.6.1. Number of imprinted serial numbers </t>
    </r>
    <r>
      <rPr>
        <sz val="11"/>
        <rFont val="Calibri"/>
        <family val="2"/>
        <scheme val="minor"/>
      </rPr>
      <t>(e.g. in a set)</t>
    </r>
    <r>
      <rPr>
        <b/>
        <sz val="11"/>
        <rFont val="Calibri"/>
        <family val="2"/>
        <scheme val="minor"/>
      </rPr>
      <t>?</t>
    </r>
  </si>
  <si>
    <r>
      <t xml:space="preserve">32.7.1. Item is registered in Europe according to WEEE </t>
    </r>
    <r>
      <rPr>
        <sz val="11"/>
        <color rgb="FF0000FF"/>
        <rFont val="Calibri"/>
        <family val="2"/>
        <scheme val="minor"/>
      </rPr>
      <t>("ElektroG" in Germany)</t>
    </r>
    <r>
      <rPr>
        <b/>
        <sz val="11"/>
        <color rgb="FF0000FF"/>
        <rFont val="Calibri"/>
        <family val="2"/>
        <scheme val="minor"/>
      </rPr>
      <t>?</t>
    </r>
  </si>
  <si>
    <r>
      <t xml:space="preserve">32.7.2. Item has to be registered according to WEEE </t>
    </r>
    <r>
      <rPr>
        <sz val="11"/>
        <color rgb="FF0000FF"/>
        <rFont val="Calibri"/>
        <family val="2"/>
        <scheme val="minor"/>
      </rPr>
      <t>("ElektroG" in Germany)</t>
    </r>
    <r>
      <rPr>
        <b/>
        <sz val="11"/>
        <color rgb="FF0000FF"/>
        <rFont val="Calibri"/>
        <family val="2"/>
        <scheme val="minor"/>
      </rPr>
      <t>?</t>
    </r>
  </si>
  <si>
    <r>
      <t xml:space="preserve">32.8.1. Item is registered in Germany according to the German Batteries Act </t>
    </r>
    <r>
      <rPr>
        <sz val="11"/>
        <color rgb="FF0000FF"/>
        <rFont val="Calibri"/>
        <family val="2"/>
        <scheme val="minor"/>
      </rPr>
      <t>(BattG)</t>
    </r>
    <r>
      <rPr>
        <b/>
        <sz val="11"/>
        <color rgb="FF0000FF"/>
        <rFont val="Calibri"/>
        <family val="2"/>
        <scheme val="minor"/>
      </rPr>
      <t>?</t>
    </r>
  </si>
  <si>
    <t>32.8.2. Type of dry-cell/rechargeable battery:</t>
  </si>
  <si>
    <t>32.8.3. Number of batteries</t>
  </si>
  <si>
    <r>
      <t xml:space="preserve">32.8.4. Batteries are built-in </t>
    </r>
    <r>
      <rPr>
        <sz val="11"/>
        <color rgb="FF0000FF"/>
        <rFont val="Calibri"/>
        <family val="2"/>
        <scheme val="minor"/>
      </rPr>
      <t>(non-removable)</t>
    </r>
    <r>
      <rPr>
        <b/>
        <sz val="11"/>
        <color rgb="FF0000FF"/>
        <rFont val="Calibri"/>
        <family val="2"/>
        <scheme val="minor"/>
      </rPr>
      <t>?</t>
    </r>
  </si>
  <si>
    <t>33. Item has guarantee or warranty?</t>
  </si>
  <si>
    <t xml:space="preserve">33.1. Warranty period from date of delivery to distributor: </t>
  </si>
  <si>
    <t>33.2. Warranty period from date of delivery to our customers:</t>
  </si>
  <si>
    <t>33.3. Guarantee period from date of delivery to distributor:</t>
  </si>
  <si>
    <t>33.4. Guarantee period from date of delivery to our customers:</t>
  </si>
  <si>
    <t>34. Sales packaging is licensed for the “Dual Disposal System” in Germany?</t>
  </si>
  <si>
    <t>35. Minimum order quantity</t>
  </si>
  <si>
    <t>36. Contents per individual packaging</t>
  </si>
  <si>
    <t>37. Dimensions and weight of individual packaging</t>
  </si>
  <si>
    <t>38. Item has an additonal, secondary packaging?</t>
  </si>
  <si>
    <t>38.1. The secondary packaging may be opened and the item shipped without it?</t>
  </si>
  <si>
    <t>38.2. Number of individual packs within a secondary packaging</t>
  </si>
  <si>
    <t>38.3. Dimensions and weight of secondary packaging incl. individual packs</t>
  </si>
  <si>
    <t>39. Is there any packaging/handling information that needs to be observed?</t>
  </si>
  <si>
    <t>39.1. list the packaging/handling information</t>
  </si>
  <si>
    <t>39.2. Number of items per pallet</t>
  </si>
  <si>
    <t>39.3. Height of pallet</t>
  </si>
  <si>
    <r>
      <t xml:space="preserve">40. Customs tariff code </t>
    </r>
    <r>
      <rPr>
        <sz val="11"/>
        <color rgb="FF0000FF"/>
        <rFont val="Calibri"/>
        <family val="2"/>
        <scheme val="minor"/>
      </rPr>
      <t>(8 - 11 digits)</t>
    </r>
  </si>
  <si>
    <r>
      <t xml:space="preserve">41. Dual-use item?
</t>
    </r>
    <r>
      <rPr>
        <sz val="11"/>
        <color rgb="FF0000FF"/>
        <rFont val="Calibri"/>
        <family val="2"/>
        <scheme val="minor"/>
      </rPr>
      <t xml:space="preserve"> (EG Dual Use Order)</t>
    </r>
  </si>
  <si>
    <t>42. Country of origin</t>
  </si>
  <si>
    <r>
      <t xml:space="preserve">43. State/province of origin </t>
    </r>
    <r>
      <rPr>
        <sz val="11"/>
        <color rgb="FF0000FF"/>
        <rFont val="Calibri"/>
        <family val="2"/>
        <scheme val="minor"/>
      </rPr>
      <t>(if applicable)</t>
    </r>
  </si>
  <si>
    <r>
      <t xml:space="preserve">44. Item with preferential origin status </t>
    </r>
    <r>
      <rPr>
        <sz val="11"/>
        <color rgb="FF0000FF"/>
        <rFont val="Calibri"/>
        <family val="2"/>
        <scheme val="minor"/>
      </rPr>
      <t>(only applicabe within EU)</t>
    </r>
    <r>
      <rPr>
        <b/>
        <sz val="11"/>
        <color rgb="FF0000FF"/>
        <rFont val="Calibri"/>
        <family val="2"/>
        <scheme val="minor"/>
      </rPr>
      <t>?</t>
    </r>
  </si>
  <si>
    <t>45. Recommended retail price</t>
  </si>
  <si>
    <r>
      <t xml:space="preserve">45.1. Discount group </t>
    </r>
    <r>
      <rPr>
        <sz val="11"/>
        <color rgb="FF0000FF"/>
        <rFont val="Calibri"/>
        <family val="2"/>
        <scheme val="minor"/>
      </rPr>
      <t>(teeth, consumable supplies, ...)</t>
    </r>
  </si>
  <si>
    <r>
      <t xml:space="preserve">46. VAT for Germany </t>
    </r>
    <r>
      <rPr>
        <sz val="11"/>
        <color rgb="FF0000FF"/>
        <rFont val="Calibri"/>
        <family val="2"/>
        <scheme val="minor"/>
      </rPr>
      <t>(full or reduced)</t>
    </r>
  </si>
  <si>
    <t>47. Please list, or provide as attachments, any special features or other additional information on the item</t>
  </si>
  <si>
    <t>47.1. File name of attached safety data sheet (SD)</t>
  </si>
  <si>
    <t>47.2. File name of attached picture (BD)</t>
  </si>
  <si>
    <t>47.3. File name of attached product description (PB)</t>
  </si>
  <si>
    <t>47.4. File name of attached medicinal product information (AF)</t>
  </si>
  <si>
    <t>47.5. File name of declaration of conformity for medical devices (KM)</t>
  </si>
  <si>
    <t>48. Exclusive Item</t>
  </si>
  <si>
    <t>48.1. Exclusive Item 
(claimed dealer)</t>
  </si>
  <si>
    <t>49. Product is subject to the regulation (EU) 2016/425 on personal protective equipment</t>
  </si>
  <si>
    <t>49.1. Please indicate personal protective equipment category</t>
  </si>
  <si>
    <t>50. Product is a set?</t>
  </si>
  <si>
    <t>22.4. MDR or MDD registration?</t>
  </si>
  <si>
    <t>22.5. Basis UDI-DI (Unique Device Identification)</t>
  </si>
  <si>
    <t>22.6. notified body</t>
  </si>
  <si>
    <t>22.7. Validity of the Declaration of Conformity until…</t>
  </si>
  <si>
    <t>2.2. Phone number</t>
  </si>
  <si>
    <t>2.3. E-mail address</t>
  </si>
  <si>
    <t>32.1.1. Length</t>
  </si>
  <si>
    <t>32.1.2. Width</t>
  </si>
  <si>
    <t>32.1.3. Height</t>
  </si>
  <si>
    <t>32.6. Device has serial number?</t>
  </si>
  <si>
    <t xml:space="preserve">32.7. Is the item electricity-driven? </t>
  </si>
  <si>
    <t>32.8. Item contains dry-cell and/or rechargeable batteries?</t>
  </si>
  <si>
    <t>34.1.1. Plastics</t>
  </si>
  <si>
    <t>34.1.2. Paper, paperboard, cardboard</t>
  </si>
  <si>
    <t>34.1.3. Composites</t>
  </si>
  <si>
    <t>34.1.4. Glass</t>
  </si>
  <si>
    <t>34.1.6. Tinplate</t>
  </si>
  <si>
    <t>34.3.1. Plastics</t>
  </si>
  <si>
    <t>34.3.2. Paper, paperboard, cardboard</t>
  </si>
  <si>
    <t>34.3.3. Composites</t>
  </si>
  <si>
    <t>34.3.4. Glass</t>
  </si>
  <si>
    <t>34.3.6. Tinplate</t>
  </si>
  <si>
    <t>34.5.1. Plastics</t>
  </si>
  <si>
    <t>34.5.2. Paper, cupboard, paperboard</t>
  </si>
  <si>
    <t>34.5.3. Composites</t>
  </si>
  <si>
    <t>34.5.4. Glass</t>
  </si>
  <si>
    <t>34.5.6. Tinplate</t>
  </si>
  <si>
    <t xml:space="preserve">37.1. Length </t>
  </si>
  <si>
    <t>37.2. Width</t>
  </si>
  <si>
    <t>37.3. Height</t>
  </si>
  <si>
    <t>37.4. Gross weight</t>
  </si>
  <si>
    <t>37.5. Net weight</t>
  </si>
  <si>
    <t xml:space="preserve">38.3.1. Length </t>
  </si>
  <si>
    <t>38.3.2. Width</t>
  </si>
  <si>
    <t>38.3.3. Height</t>
  </si>
  <si>
    <t>38.3.4. Gross weight</t>
  </si>
  <si>
    <t>38.3.5. Net weight</t>
  </si>
  <si>
    <t>Text field</t>
  </si>
  <si>
    <t>Date (dd.mm.yyyy)</t>
  </si>
  <si>
    <t>N=New item data creation
A=Amendment (change)
Z=No longer available/deliverable</t>
  </si>
  <si>
    <t>Alphanumerical</t>
  </si>
  <si>
    <t>bag, can, bucket, bottle, canister, carton, sample, pack, roll, set, dipenser, syringe, piece, tube, …</t>
  </si>
  <si>
    <t>(Y/N)</t>
  </si>
  <si>
    <t>Alphanumerical
If manufacturer = supplier, then enter the exact manufacturer's item number.</t>
  </si>
  <si>
    <t>Text field
Please attach detailed product description as a separate file if available.
Exact item name in different languages please identify by ISO 3166 country code and separate with / in between.
Example:. DE_exact item name/GB_exact item name</t>
  </si>
  <si>
    <t>Text field
Please fill in if supplier and manufacturer are not the same.</t>
  </si>
  <si>
    <t>Please indicate countries by using ISO 3166 country codes, and separate codes with / in between.</t>
  </si>
  <si>
    <t>Numerical</t>
  </si>
  <si>
    <t>(Numerical / N)</t>
  </si>
  <si>
    <t>Dental = DENT
Medical = MED
Veterinary = VET 
separate codes with / in between</t>
  </si>
  <si>
    <t>P = practice (medical)
L = laboratory
B = both</t>
  </si>
  <si>
    <t>Please indicate languages with country codes according to ISO 3166, and separate codes with / in between.</t>
  </si>
  <si>
    <t>Please indicate languages by using ISO 3166 country codes, and separate codes with / in between.</t>
  </si>
  <si>
    <t>in hours (h)</t>
  </si>
  <si>
    <t>in gramme (g) or percent (%)
If available, please provide both (e.g. 3g / 15%)</t>
  </si>
  <si>
    <t>(Y/N)
If a safety data sheet is available, it has to be provided together with this file!</t>
  </si>
  <si>
    <t>Please provide complete code incl. brackets.</t>
  </si>
  <si>
    <t>Numerical
in millilitre (ml) or gram (g)</t>
  </si>
  <si>
    <t>Barrel/drum; canister; box, pouch/bag/sack; composite packaging; light gauge metal packaging</t>
  </si>
  <si>
    <t>in millimetres (mm)</t>
  </si>
  <si>
    <t>in litres (l)</t>
  </si>
  <si>
    <t>in Watts (W)</t>
  </si>
  <si>
    <t>Text field
(Li-ion, Li-metal, Lead-based, NiCa, etc.)</t>
  </si>
  <si>
    <t>in months</t>
  </si>
  <si>
    <t>in grams (g)</t>
  </si>
  <si>
    <t>in units</t>
  </si>
  <si>
    <t>in gram (g)</t>
  </si>
  <si>
    <t>Numerical in millimetres (mm)</t>
  </si>
  <si>
    <t>Numerical in gram (g)</t>
  </si>
  <si>
    <t>Numerical, 8 - 11 digits</t>
  </si>
  <si>
    <t>two-digit, in accord. with ISO 3166, Alpha 2</t>
  </si>
  <si>
    <t>in percentage (%)</t>
  </si>
  <si>
    <r>
      <t xml:space="preserve">Text and/or attachments / N
(e.g. contains </t>
    </r>
    <r>
      <rPr>
        <i/>
        <u/>
        <sz val="9"/>
        <color rgb="FF0000FF"/>
        <rFont val="Calibri"/>
        <family val="2"/>
        <scheme val="minor"/>
      </rPr>
      <t>latex)</t>
    </r>
  </si>
  <si>
    <t>original suppliers name of the file</t>
  </si>
  <si>
    <t>Please name files as follows: "abbreviation of attachment type_ISO 3166 country code_item number_issue date as yyyymmdd"
Abbreviations for attachment types: safety data sheet = SD; picture = BD; product description = PB; bill of material = SL; medicinal product information = AF; declaration of conformity = KM</t>
  </si>
  <si>
    <t>Please indicate dealers and separate with / in between. (For Example: DU/HSC/PD/NWD/M&amp;W)</t>
  </si>
  <si>
    <t>MDR or MDD</t>
  </si>
  <si>
    <t>only needed for csv convention</t>
  </si>
  <si>
    <t>Mandatory field</t>
  </si>
  <si>
    <t>Mandatory field
If "N" or "A", please fill in the following fields (grey column headers), too.</t>
  </si>
  <si>
    <t>Dependent field</t>
  </si>
  <si>
    <t>Mandatory field
If "Y", please fill in the following fields (grey column headers), too.</t>
  </si>
  <si>
    <t>Mandatory field
If "Y", please fill in all existing barcodes in the following fields (grey column headers).</t>
  </si>
  <si>
    <t>Mandatory field
If "Y", please enter code and fill in the following field (grey column header).</t>
  </si>
  <si>
    <t>Mandatory field
If "N", please fill in the following field (grey column header), too.</t>
  </si>
  <si>
    <t>Mandatory field
If "Y", please fill in the following field (grey column header), too.</t>
  </si>
  <si>
    <t>Mandatory field
 Please fill in the following fields (grey column headers) if the answer is "N" or if the item is also approved for sale outside of Germany.</t>
  </si>
  <si>
    <t>optional field</t>
  </si>
  <si>
    <t>Mandatory field
Please list special features/information on item. In case of attachments, please enter file names in the following fields (grey column headers).</t>
  </si>
  <si>
    <t>Abbreviations for attachment types: safety data sheet = SD; picture = BD; product description = PB; bill of material = SL; medicinal product information = AF; declaration of conformity = KM</t>
  </si>
  <si>
    <t>Mandatory field 
If "Y", please fill in the following fields (grey column headers), too.</t>
  </si>
  <si>
    <t>Mandatory field 
If "Y", please list all relevant MSDS in 47.1 and give the name of the bill of material / product description  in 47.3</t>
  </si>
  <si>
    <t xml:space="preserve">Änderungshistorie </t>
  </si>
  <si>
    <t>V1.1</t>
  </si>
  <si>
    <t>neue Version: 20171101_Artikelpass_BVD V1.1</t>
  </si>
  <si>
    <t>New Version</t>
  </si>
  <si>
    <t>Änderungs-</t>
  </si>
  <si>
    <t>veranlasst</t>
  </si>
  <si>
    <t xml:space="preserve">Änderungs- </t>
  </si>
  <si>
    <t>Status</t>
  </si>
  <si>
    <t>Nr</t>
  </si>
  <si>
    <t>Was</t>
  </si>
  <si>
    <t>Bemerkung</t>
  </si>
  <si>
    <t>remarks</t>
  </si>
  <si>
    <t>datum</t>
  </si>
  <si>
    <t>nr</t>
  </si>
  <si>
    <r>
      <t xml:space="preserve">Erläuterungen - Texte ergänzt
</t>
    </r>
    <r>
      <rPr>
        <i/>
        <sz val="11"/>
        <color rgb="FF0070C0"/>
        <rFont val="Calibri"/>
        <family val="2"/>
        <scheme val="minor"/>
      </rPr>
      <t>Annotations - Texts added</t>
    </r>
  </si>
  <si>
    <t>Bitte ab Zeile 6 befüllen
Alle abhängigen Felder befüllen, wenn bekannt
In einen Artikelpass mehrere neue Artikel (anstatt je Artikel eine Datei) eingeben
Preise bitte in separater Datei schicken</t>
  </si>
  <si>
    <t>Please start filling with row 6
Fill all dependent fields if known
Enter several new items in one sheet (instead of one sheet per item)
Please send prices in separate file.</t>
  </si>
  <si>
    <t>alle</t>
  </si>
  <si>
    <t>1.1.</t>
  </si>
  <si>
    <t>veröffentlicht 1.4.18</t>
  </si>
  <si>
    <r>
      <t xml:space="preserve">Gruppierung /Fixierung </t>
    </r>
    <r>
      <rPr>
        <i/>
        <sz val="11"/>
        <color rgb="FF0070C0"/>
        <rFont val="Calibri"/>
        <family val="2"/>
        <scheme val="minor"/>
      </rPr>
      <t>Grouping / Locking</t>
    </r>
  </si>
  <si>
    <t>Kopfzeile englisch/deutsch ist einklappbar und fixiert beim Scrollen</t>
  </si>
  <si>
    <t>English / German header is collapsible and locked (frozen) for scrolling</t>
  </si>
  <si>
    <r>
      <t xml:space="preserve">Felder mit führenden Nullen </t>
    </r>
    <r>
      <rPr>
        <i/>
        <sz val="11"/>
        <color rgb="FF0070C0"/>
        <rFont val="Calibri"/>
        <family val="2"/>
        <scheme val="minor"/>
      </rPr>
      <t>/ Fields with leading zeros</t>
    </r>
  </si>
  <si>
    <t>alphanumerische Inhalte anstatt numerische (Bsp. Tel, HIBC, etc.)</t>
  </si>
  <si>
    <t>alphanumerical instead of numerical contents (e.g. Tel., HIBC, etc.)</t>
  </si>
  <si>
    <r>
      <t xml:space="preserve">Feld 14 </t>
    </r>
    <r>
      <rPr>
        <sz val="11"/>
        <color rgb="FF0070C0"/>
        <rFont val="Calibri"/>
        <family val="2"/>
        <scheme val="minor"/>
      </rPr>
      <t>/</t>
    </r>
    <r>
      <rPr>
        <i/>
        <sz val="11"/>
        <color rgb="FF0070C0"/>
        <rFont val="Calibri"/>
        <family val="2"/>
        <scheme val="minor"/>
      </rPr>
      <t xml:space="preserve"> Field 14</t>
    </r>
  </si>
  <si>
    <t>Schreibweise eCL@ss</t>
  </si>
  <si>
    <t>Spelling eCL@ss</t>
  </si>
  <si>
    <r>
      <t xml:space="preserve">Feld 15 </t>
    </r>
    <r>
      <rPr>
        <i/>
        <sz val="11"/>
        <color rgb="FF0070C0"/>
        <rFont val="Calibri"/>
        <family val="2"/>
        <scheme val="minor"/>
      </rPr>
      <t>/ Field 15</t>
    </r>
  </si>
  <si>
    <t>ergänzt: durch "/" voneinander trennen</t>
  </si>
  <si>
    <t>added: separate codes with "/" inbetween</t>
  </si>
  <si>
    <t>Alpro</t>
  </si>
  <si>
    <r>
      <t xml:space="preserve">Feld 22.3.b </t>
    </r>
    <r>
      <rPr>
        <i/>
        <sz val="11"/>
        <color rgb="FF0070C0"/>
        <rFont val="Calibri"/>
        <family val="2"/>
        <scheme val="minor"/>
      </rPr>
      <t>/ field 22.3.b</t>
    </r>
  </si>
  <si>
    <t>ergänzt: Nur Fluoridierungsprodukte</t>
  </si>
  <si>
    <t>added: only fluoridation products</t>
  </si>
  <si>
    <r>
      <t xml:space="preserve">Feld 27 </t>
    </r>
    <r>
      <rPr>
        <i/>
        <sz val="11"/>
        <color rgb="FF0070C0"/>
        <rFont val="Calibri"/>
        <family val="2"/>
        <scheme val="minor"/>
      </rPr>
      <t>/ Field 15</t>
    </r>
  </si>
  <si>
    <t>VOC in Gramm statt in %</t>
  </si>
  <si>
    <t>VOC in gramm instead of %</t>
  </si>
  <si>
    <r>
      <t xml:space="preserve">Felder 34.1, 34.3, 34.4, 34.6. </t>
    </r>
    <r>
      <rPr>
        <i/>
        <sz val="11"/>
        <color rgb="FF0070C0"/>
        <rFont val="Calibri"/>
        <family val="2"/>
        <scheme val="minor"/>
      </rPr>
      <t>/ Fields 34.1, 34.3, 34.4, 34.6.</t>
    </r>
  </si>
  <si>
    <t>Texte Gewichte Verpackung angepasst / bessere Verständlichkeit
--&gt; siehe auch Tabellenblatt 4 "Verpackungsgewichte (34.ff)"</t>
  </si>
  <si>
    <t>Texts for weights of packaging adjusted / better comprehensibility
-&gt; see sheet 4 "Verpackungsgewichte (34.ff)"</t>
  </si>
  <si>
    <r>
      <t>Feld 41</t>
    </r>
    <r>
      <rPr>
        <i/>
        <sz val="11"/>
        <color rgb="FF0070C0"/>
        <rFont val="Calibri"/>
        <family val="2"/>
        <scheme val="minor"/>
      </rPr>
      <t xml:space="preserve"> / Field 41</t>
    </r>
  </si>
  <si>
    <t>eingefügt: nach EG-Dual Use Verordnung</t>
  </si>
  <si>
    <t>inserted: according to EC Dual Use Regulation</t>
  </si>
  <si>
    <t>GLS</t>
  </si>
  <si>
    <r>
      <t xml:space="preserve">Feld 44 </t>
    </r>
    <r>
      <rPr>
        <i/>
        <sz val="11"/>
        <color rgb="FF0070C0"/>
        <rFont val="Calibri"/>
        <family val="2"/>
        <scheme val="minor"/>
      </rPr>
      <t>/ Field 44</t>
    </r>
  </si>
  <si>
    <t>Beschreibungstext angepasst</t>
  </si>
  <si>
    <t>Description adjusted</t>
  </si>
  <si>
    <r>
      <t xml:space="preserve">Feld 45 Beschreibung </t>
    </r>
    <r>
      <rPr>
        <i/>
        <sz val="11"/>
        <color rgb="FF0070C0"/>
        <rFont val="Calibri"/>
        <family val="2"/>
        <scheme val="minor"/>
      </rPr>
      <t>/ Field 45 Description</t>
    </r>
  </si>
  <si>
    <t>Text angepasst</t>
  </si>
  <si>
    <t>Text adjusted</t>
  </si>
  <si>
    <r>
      <t xml:space="preserve">Feld 48, 48.1. </t>
    </r>
    <r>
      <rPr>
        <i/>
        <sz val="11"/>
        <color rgb="FF0070C0"/>
        <rFont val="Calibri"/>
        <family val="2"/>
        <scheme val="minor"/>
      </rPr>
      <t>/ Field 48, 48.1.</t>
    </r>
  </si>
  <si>
    <t xml:space="preserve">neu hinzugefügt: Exklusivartikel /berechtigte Händler </t>
  </si>
  <si>
    <t>added: Exclusive item / authorized suppliers</t>
  </si>
  <si>
    <r>
      <t xml:space="preserve">Feld 49, 49.1.  </t>
    </r>
    <r>
      <rPr>
        <i/>
        <sz val="11"/>
        <color rgb="FF0070C0"/>
        <rFont val="Calibri"/>
        <family val="2"/>
        <scheme val="minor"/>
      </rPr>
      <t>/ Field 49, 49.1.</t>
    </r>
  </si>
  <si>
    <t>neu hinzugefügt: Artikel unterliegt Verordnung für persönl. Schutzausrüstung</t>
  </si>
  <si>
    <t>added: Product is subject to the EU regulation 2016/425 on personal protective equipment</t>
  </si>
  <si>
    <r>
      <t>diverse Felder</t>
    </r>
    <r>
      <rPr>
        <i/>
        <sz val="11"/>
        <color rgb="FF0070C0"/>
        <rFont val="Calibri"/>
        <family val="2"/>
        <scheme val="minor"/>
      </rPr>
      <t xml:space="preserve"> / Various fields</t>
    </r>
  </si>
  <si>
    <t>Farben und Erläuterungen angepasst / auf Standard</t>
  </si>
  <si>
    <t>Colors and annotations adjusted / to standard</t>
  </si>
  <si>
    <t>HSC</t>
  </si>
  <si>
    <r>
      <t xml:space="preserve">Sprachselektion für Kopfbereich programmiert </t>
    </r>
    <r>
      <rPr>
        <i/>
        <sz val="11"/>
        <color rgb="FF0070C0"/>
        <rFont val="Calibri"/>
        <family val="2"/>
        <scheme val="minor"/>
      </rPr>
      <t xml:space="preserve">/ Language selection for header data coded
</t>
    </r>
  </si>
  <si>
    <t>1. Blatt "Start" eingefügt und programmiert
2. Blatt "Input-Data" eingefügt und mit SVERWEIS auf "Header_Data" programmiert
3. "Artikelpass BVD Lieferant" umbenannt in "Header_Data" und 1 Spalte vorn für Reihenselektor sowie 2 Zeilen oben für Benennung mit ID eingefügt. Keine Felddaten geändert.</t>
  </si>
  <si>
    <t>1. Sheet "Start" inserted and coded
2. Sheet "Input Data" inserted and with VLOOKUP coded to "Header_Data"
3. "Artikelpass BVD Lieferant" renamed to "Header_Data", and inserted 1 column for row selector and 2 lines on top for naming with ID. No field data changed.</t>
  </si>
  <si>
    <t xml:space="preserve">Alle </t>
  </si>
  <si>
    <r>
      <t xml:space="preserve">Feld 50 , 51 </t>
    </r>
    <r>
      <rPr>
        <i/>
        <sz val="11"/>
        <color rgb="FF0070C0"/>
        <rFont val="Calibri"/>
        <family val="2"/>
        <scheme val="minor"/>
      </rPr>
      <t>/ Field 50, 51</t>
    </r>
  </si>
  <si>
    <t>Feld SET / Stückliste hinzugefügt</t>
  </si>
  <si>
    <t>Field SET / Bill of materials added</t>
  </si>
  <si>
    <r>
      <t xml:space="preserve">alle Felder </t>
    </r>
    <r>
      <rPr>
        <i/>
        <sz val="11"/>
        <color rgb="FF0070C0"/>
        <rFont val="Calibri"/>
        <family val="2"/>
        <scheme val="minor"/>
      </rPr>
      <t>/ all fields</t>
    </r>
  </si>
  <si>
    <t>Text "abhängiges Feld" in Leerfeldern Zeile 4 ergänzt</t>
  </si>
  <si>
    <t>Text "dependent field" added in empty fields of row 4</t>
  </si>
  <si>
    <r>
      <t xml:space="preserve">Feld 47.ff </t>
    </r>
    <r>
      <rPr>
        <i/>
        <sz val="11"/>
        <color rgb="FF0070C0"/>
        <rFont val="Calibri"/>
        <family val="2"/>
        <scheme val="minor"/>
      </rPr>
      <t>/ Field 47 ff.</t>
    </r>
  </si>
  <si>
    <r>
      <t>Name geändert: jetzt  Anhang</t>
    </r>
    <r>
      <rPr>
        <u/>
        <sz val="11"/>
        <rFont val="Calibri"/>
        <family val="2"/>
        <scheme val="minor"/>
      </rPr>
      <t>art</t>
    </r>
    <r>
      <rPr>
        <sz val="11"/>
        <rFont val="Calibri"/>
        <family val="2"/>
        <scheme val="minor"/>
      </rPr>
      <t xml:space="preserve"> als erste zwei Stellen und Datumsformat jjjjmmdd</t>
    </r>
  </si>
  <si>
    <r>
      <t xml:space="preserve">Name changed: now: </t>
    </r>
    <r>
      <rPr>
        <i/>
        <u/>
        <sz val="11"/>
        <color rgb="FF0070C0"/>
        <rFont val="Calibri"/>
        <family val="2"/>
        <scheme val="minor"/>
      </rPr>
      <t>Type</t>
    </r>
    <r>
      <rPr>
        <i/>
        <sz val="11"/>
        <color rgb="FF0070C0"/>
        <rFont val="Calibri"/>
        <family val="2"/>
        <scheme val="minor"/>
      </rPr>
      <t xml:space="preserve"> of attachment as first two digits and date format "yyyymmdd"</t>
    </r>
  </si>
  <si>
    <r>
      <t>Feld 50</t>
    </r>
    <r>
      <rPr>
        <i/>
        <sz val="11"/>
        <color rgb="FF0070C0"/>
        <rFont val="Calibri"/>
        <family val="2"/>
        <scheme val="minor"/>
      </rPr>
      <t xml:space="preserve"> / Field 50</t>
    </r>
  </si>
  <si>
    <t>Text ergänzt: wenn Ja bitte 47.1. und 47.3 befüllen</t>
  </si>
  <si>
    <t>Text added; if 'Yes', please fill out 47.1 and 47.3</t>
  </si>
  <si>
    <r>
      <t xml:space="preserve">Feld 51 gelöscht </t>
    </r>
    <r>
      <rPr>
        <i/>
        <sz val="11"/>
        <color rgb="FF0070C0"/>
        <rFont val="Calibri"/>
        <family val="2"/>
        <scheme val="minor"/>
      </rPr>
      <t>/ Field 51 deleted</t>
    </r>
  </si>
  <si>
    <t>Überflüssig aufgrund Ergänzung Feld 50</t>
  </si>
  <si>
    <t>Redundant due to amendment of field 50</t>
  </si>
  <si>
    <r>
      <t>F</t>
    </r>
    <r>
      <rPr>
        <sz val="11"/>
        <rFont val="Calibri"/>
        <family val="2"/>
        <scheme val="minor"/>
      </rPr>
      <t>eld 27</t>
    </r>
    <r>
      <rPr>
        <sz val="11"/>
        <color theme="1"/>
        <rFont val="Calibri"/>
        <family val="2"/>
        <scheme val="minor"/>
      </rPr>
      <t xml:space="preserve">  </t>
    </r>
    <r>
      <rPr>
        <i/>
        <sz val="11"/>
        <color rgb="FF0070C0"/>
        <rFont val="Calibri"/>
        <family val="2"/>
        <scheme val="minor"/>
      </rPr>
      <t>/ Field 27</t>
    </r>
  </si>
  <si>
    <t xml:space="preserve">Angabe VOC in g und/oder % </t>
  </si>
  <si>
    <t>Specification in gramme and/or percent</t>
  </si>
  <si>
    <r>
      <t xml:space="preserve">Feld 2.2. </t>
    </r>
    <r>
      <rPr>
        <i/>
        <sz val="11"/>
        <color theme="3" tint="0.39997558519241921"/>
        <rFont val="Calibri"/>
        <family val="2"/>
        <scheme val="minor"/>
      </rPr>
      <t>/ Field 27</t>
    </r>
  </si>
  <si>
    <t>Telefonnummer = Textfeld (statt numerisch)</t>
  </si>
  <si>
    <t>Tel = Text field</t>
  </si>
  <si>
    <t>veröffentlicht 15.10.18</t>
  </si>
  <si>
    <r>
      <t xml:space="preserve">Feld 47.1.  </t>
    </r>
    <r>
      <rPr>
        <i/>
        <sz val="11"/>
        <color theme="3" tint="0.39997558519241921"/>
        <rFont val="Calibri"/>
        <family val="2"/>
        <scheme val="minor"/>
      </rPr>
      <t>/ Field 47 ff.</t>
    </r>
  </si>
  <si>
    <t>Name Sicherheitsdatenblatt =  vom Hersteller verwendeter Originalname der Datei</t>
  </si>
  <si>
    <t>File name of attached safety data sheet (SD) = original suppliers name of the file</t>
  </si>
  <si>
    <t>Musterbeispiel eingefügt</t>
  </si>
  <si>
    <t>Example added</t>
  </si>
  <si>
    <t>Nachfolgende neue Felder werden am Ende angehängt damit die bestehenden Schnittstellen weiter genutzt werden können und nur erweitert werden müssen.</t>
  </si>
  <si>
    <r>
      <t>Feld 22.4. in Spalte 181/</t>
    </r>
    <r>
      <rPr>
        <sz val="11"/>
        <color theme="4"/>
        <rFont val="Calibri"/>
        <family val="2"/>
        <scheme val="minor"/>
      </rPr>
      <t xml:space="preserve"> Field 22.4  column 181</t>
    </r>
  </si>
  <si>
    <r>
      <t>Feld 22.5. in Spalte 182/</t>
    </r>
    <r>
      <rPr>
        <sz val="11"/>
        <color theme="4"/>
        <rFont val="Calibri"/>
        <family val="2"/>
        <scheme val="minor"/>
      </rPr>
      <t xml:space="preserve"> Field 22.5  column 182</t>
    </r>
  </si>
  <si>
    <t>(I, Is, Im, Ir, IIa, IIb, III, IVD)</t>
  </si>
  <si>
    <t xml:space="preserve">34.1. Verpackungsgewicht der restentleerten Produktverpackung (Primärverpackung) </t>
  </si>
  <si>
    <t>34.2. restentleerte Produktverpackung darf über ein Duales System entsorgt werden?</t>
  </si>
  <si>
    <t>34.3. Verpackungsgewicht der Einzelverpackung (Sekundärverpackung)</t>
  </si>
  <si>
    <t>34.4. Einzelverpackung darf über ein Duales System entsorgt werden?</t>
  </si>
  <si>
    <t xml:space="preserve">34.5. Verpackungsgewicht der Groß-/Bulkverpackung inkl. Füllmaterial (Tertiärverpackung) </t>
  </si>
  <si>
    <t>34.6. Groß-/Bulkverpackung darf über ein Duales System entsorgt werden ?</t>
  </si>
  <si>
    <t>34.5.2. PPK</t>
  </si>
  <si>
    <t>34.5.6. Eisenmetalle</t>
  </si>
  <si>
    <t>34.3.2. PPK</t>
  </si>
  <si>
    <t>34.5.3. Sonstige Verbunde</t>
  </si>
  <si>
    <t>34.3.3. Sonstige Verbunde</t>
  </si>
  <si>
    <t>34.3.6. Eisenmetalle</t>
  </si>
  <si>
    <t>34.1.6. Eisenmetalle</t>
  </si>
  <si>
    <t>34.1.3. Sonstige Verbunde</t>
  </si>
  <si>
    <t>34.1.2. PPK</t>
  </si>
  <si>
    <t>34.1. Packaging weight of the empty product packaging (Primary packaging)</t>
  </si>
  <si>
    <t>34.2. empty product packaging may be disposed of via a dual system ?</t>
  </si>
  <si>
    <t>34.3. Packaging weight of the individual packaging (secondary packaging)</t>
  </si>
  <si>
    <t xml:space="preserve">34.4. Individual packaging ma be disposed of via a dual system ? </t>
  </si>
  <si>
    <t>34.5. Packaging weight of the large/bulk packaging incl. filling material (tertiary packaging)</t>
  </si>
  <si>
    <t xml:space="preserve">34.6. Large/bulk packaging ma be disposed of via a dual system ? </t>
  </si>
  <si>
    <t>Je nach Klassifizierung bitte das entsprechende Blatt ausfüllen</t>
  </si>
  <si>
    <t>50.1 Stückliste des Sets (nur Komponenten mit SBD aufführen)</t>
  </si>
  <si>
    <t xml:space="preserve">Komponenten bitte durch "/" voneinander trennen. </t>
  </si>
  <si>
    <t>o</t>
  </si>
  <si>
    <t>veröffentlicht 01.02.2023</t>
  </si>
  <si>
    <r>
      <t>Feld 22.8. in Spalte 185/</t>
    </r>
    <r>
      <rPr>
        <sz val="11"/>
        <color theme="4"/>
        <rFont val="Calibri"/>
        <family val="2"/>
        <scheme val="minor"/>
      </rPr>
      <t xml:space="preserve"> Field 22.8  column 185</t>
    </r>
  </si>
  <si>
    <r>
      <t>Feld 22.7. in Spalte 184/</t>
    </r>
    <r>
      <rPr>
        <sz val="11"/>
        <color theme="4"/>
        <rFont val="Calibri"/>
        <family val="2"/>
        <scheme val="minor"/>
      </rPr>
      <t xml:space="preserve"> Field 22.7  column 184</t>
    </r>
  </si>
  <si>
    <r>
      <t>Feld 22.6. in Spalte 183/</t>
    </r>
    <r>
      <rPr>
        <sz val="11"/>
        <color theme="4"/>
        <rFont val="Calibri"/>
        <family val="2"/>
        <scheme val="minor"/>
      </rPr>
      <t xml:space="preserve"> Field 22.6  column 183</t>
    </r>
  </si>
  <si>
    <r>
      <t>Feld 13 in Spalte 21/</t>
    </r>
    <r>
      <rPr>
        <sz val="11"/>
        <color theme="4"/>
        <rFont val="Calibri"/>
        <family val="2"/>
        <scheme val="minor"/>
      </rPr>
      <t xml:space="preserve"> Field 13  column 21</t>
    </r>
  </si>
  <si>
    <t>Feld MDR oder MDD Zulassung hinzugefügt</t>
  </si>
  <si>
    <t>Feld Basis UDI-DI hinzugefügt</t>
  </si>
  <si>
    <t>Feld benannte Stelle hinzugefügt</t>
  </si>
  <si>
    <t>Feld Gültigkeit der Konformitätserklärung bis… hinzugefügt</t>
  </si>
  <si>
    <t>Feld Einweisungspflichtig hinzugefügt</t>
  </si>
  <si>
    <t>Subject to instruction</t>
  </si>
  <si>
    <t>Field Basis UDI-DI (Unique Device Identification) added</t>
  </si>
  <si>
    <t>Field MDR or MDD registration? added</t>
  </si>
  <si>
    <t>Field notified body added</t>
  </si>
  <si>
    <t>Field Validity of the Declaration of Conformity until… added</t>
  </si>
  <si>
    <t>Field Subject to instruction added</t>
  </si>
  <si>
    <t>Text ergänzt: /UDI-DI?</t>
  </si>
  <si>
    <t>Text added; /UDI-DI?</t>
  </si>
  <si>
    <r>
      <t>Feld 12 in Spalte 20/</t>
    </r>
    <r>
      <rPr>
        <sz val="11"/>
        <color theme="4"/>
        <rFont val="Calibri"/>
        <family val="2"/>
        <scheme val="minor"/>
      </rPr>
      <t xml:space="preserve"> Field 12  column 20</t>
    </r>
  </si>
  <si>
    <t>Text ergänzt: [innen (i), außen (o)]?</t>
  </si>
  <si>
    <t>Text added; [CE marking inside (i), outside (o)]?</t>
  </si>
  <si>
    <t>Tabellenblätter für verschiedene Klassifizierungen erstellt</t>
  </si>
  <si>
    <t>Tables created for different classifications</t>
  </si>
  <si>
    <t xml:space="preserve">Regeln für Eintragung und Blattschutz für Überschrift festgelegt </t>
  </si>
  <si>
    <t>rules laid down for entry and and protection laid down for titles</t>
  </si>
  <si>
    <t>12.1. UKCA (CE-Kennzeichen für Großbritannien)</t>
  </si>
  <si>
    <t>50.1 Stückliste des Sets (nur Komponenten mit SDB aufführen)</t>
  </si>
  <si>
    <t>Feld UKCA (CE-Kennzeichen für Großbritannien) hinzugefügt</t>
  </si>
  <si>
    <t>12.1. UKCA (UK marking)</t>
  </si>
  <si>
    <t>Field UKCA (UK marking) added</t>
  </si>
  <si>
    <t>AT,DE,FR,IT</t>
  </si>
  <si>
    <t>Beutel, Dose, Eimer, Flasche, Kanister, Karton, Muster, Packung, Rolle, Set, Spender, Spritze, Stück, Tube, Nachfüllpackung, Großpackung …</t>
  </si>
  <si>
    <r>
      <t xml:space="preserve">Feld 12.1. in Spalte 186/ </t>
    </r>
    <r>
      <rPr>
        <i/>
        <sz val="11"/>
        <color theme="4"/>
        <rFont val="Calibri"/>
        <family val="2"/>
        <scheme val="minor"/>
      </rPr>
      <t>Field 12.1 column 20</t>
    </r>
  </si>
  <si>
    <r>
      <t xml:space="preserve">Feld 4.4. in Spalte 10/ </t>
    </r>
    <r>
      <rPr>
        <i/>
        <sz val="11"/>
        <color theme="4"/>
        <rFont val="Calibri"/>
        <family val="2"/>
        <scheme val="minor"/>
      </rPr>
      <t>Field 4.4. column 10</t>
    </r>
  </si>
  <si>
    <t>Auswahlmöglichkeit in Feld Verpackungsart um Nachfüllpackung und Großpackung erweitert</t>
  </si>
  <si>
    <t>Selection option in the packaging type field extended to include refill pack and bulk pack</t>
  </si>
  <si>
    <t>veröffentlicht 25.03.2024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</si>
</sst>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0"/>
  </numFmts>
  <fonts count="4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i/>
      <u/>
      <sz val="9"/>
      <name val="Calibri"/>
      <family val="2"/>
      <scheme val="minor"/>
    </font>
    <font>
      <i/>
      <u/>
      <sz val="9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i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FF"/>
      <name val="Calibri"/>
      <family val="2"/>
    </font>
    <font>
      <i/>
      <sz val="9"/>
      <color rgb="FF0000FF"/>
      <name val="Calibri"/>
      <family val="2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3366CC"/>
      <name val="Calibri"/>
      <family val="2"/>
      <scheme val="minor"/>
    </font>
    <font>
      <sz val="9"/>
      <name val="Arial"/>
      <family val="2"/>
    </font>
    <font>
      <u/>
      <sz val="11"/>
      <name val="Calibri"/>
      <family val="2"/>
      <scheme val="minor"/>
    </font>
    <font>
      <i/>
      <u/>
      <sz val="11"/>
      <color rgb="FF0070C0"/>
      <name val="Calibri"/>
      <family val="2"/>
      <scheme val="minor"/>
    </font>
    <font>
      <i/>
      <sz val="11"/>
      <color theme="3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</font>
    <font>
      <sz val="11"/>
      <color theme="4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4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D0D0D0"/>
      </left>
      <right style="medium">
        <color rgb="FFD0D0D0"/>
      </right>
      <top style="medium">
        <color rgb="FFD0D0D0"/>
      </top>
      <bottom style="medium">
        <color rgb="FFD0D0D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241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top" wrapText="1"/>
    </xf>
    <xf numFmtId="0" fontId="4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0" borderId="0" xfId="0" applyFont="1"/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0" fontId="9" fillId="0" borderId="1" xfId="0" applyFont="1" applyBorder="1" applyAlignment="1">
      <alignment horizontal="center" vertical="center" wrapText="1"/>
    </xf>
    <xf numFmtId="0" fontId="0" fillId="0" borderId="5" xfId="0" applyBorder="1"/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center" vertical="top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vertical="top" wrapText="1"/>
    </xf>
    <xf numFmtId="0" fontId="20" fillId="0" borderId="0" xfId="0" applyFont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4" fillId="0" borderId="0" xfId="0" applyFont="1"/>
    <xf numFmtId="0" fontId="23" fillId="12" borderId="0" xfId="0" applyFont="1" applyFill="1" applyAlignment="1">
      <alignment horizontal="center" vertical="center" wrapText="1"/>
    </xf>
    <xf numFmtId="0" fontId="23" fillId="12" borderId="6" xfId="0" applyFont="1" applyFill="1" applyBorder="1" applyAlignment="1">
      <alignment horizontal="center" vertical="center" wrapText="1"/>
    </xf>
    <xf numFmtId="0" fontId="23" fillId="12" borderId="8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center" vertical="center" wrapText="1"/>
    </xf>
    <xf numFmtId="0" fontId="21" fillId="0" borderId="14" xfId="1" applyNumberFormat="1" applyFont="1" applyFill="1" applyBorder="1" applyAlignment="1">
      <alignment horizontal="center" vertical="center"/>
    </xf>
    <xf numFmtId="0" fontId="0" fillId="14" borderId="0" xfId="0" applyFill="1"/>
    <xf numFmtId="0" fontId="22" fillId="14" borderId="0" xfId="0" applyFont="1" applyFill="1"/>
    <xf numFmtId="0" fontId="22" fillId="14" borderId="0" xfId="0" applyFont="1" applyFill="1" applyAlignment="1">
      <alignment horizontal="center" vertical="center"/>
    </xf>
    <xf numFmtId="0" fontId="22" fillId="12" borderId="0" xfId="0" applyFont="1" applyFill="1" applyAlignment="1">
      <alignment horizontal="right" vertical="center"/>
    </xf>
    <xf numFmtId="0" fontId="0" fillId="12" borderId="0" xfId="0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22" fillId="12" borderId="0" xfId="0" applyFont="1" applyFill="1" applyAlignment="1">
      <alignment horizontal="left" vertical="center"/>
    </xf>
    <xf numFmtId="0" fontId="20" fillId="14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5" xfId="0" applyFont="1" applyBorder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20" fillId="0" borderId="2" xfId="0" applyFont="1" applyBorder="1" applyAlignment="1">
      <alignment horizontal="left" vertical="center"/>
    </xf>
    <xf numFmtId="0" fontId="0" fillId="0" borderId="3" xfId="0" applyBorder="1"/>
    <xf numFmtId="0" fontId="0" fillId="0" borderId="4" xfId="0" applyBorder="1"/>
    <xf numFmtId="0" fontId="20" fillId="0" borderId="1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0" fillId="13" borderId="0" xfId="0" applyFill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6" borderId="0" xfId="0" applyFill="1"/>
    <xf numFmtId="0" fontId="0" fillId="0" borderId="0" xfId="0" applyAlignment="1">
      <alignment vertical="top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3" fillId="0" borderId="5" xfId="0" applyFont="1" applyBorder="1"/>
    <xf numFmtId="0" fontId="3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5" borderId="1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left" vertical="top"/>
    </xf>
    <xf numFmtId="14" fontId="0" fillId="0" borderId="0" xfId="0" applyNumberFormat="1" applyAlignment="1">
      <alignment vertical="top"/>
    </xf>
    <xf numFmtId="0" fontId="36" fillId="0" borderId="0" xfId="0" applyFont="1" applyAlignment="1">
      <alignment horizontal="center"/>
    </xf>
    <xf numFmtId="49" fontId="5" fillId="9" borderId="2" xfId="0" quotePrefix="1" applyNumberFormat="1" applyFont="1" applyFill="1" applyBorder="1" applyAlignment="1">
      <alignment horizontal="center" vertical="center" wrapText="1"/>
    </xf>
    <xf numFmtId="0" fontId="15" fillId="9" borderId="1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4" fillId="5" borderId="1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33" fillId="15" borderId="1" xfId="2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3" fillId="15" borderId="1" xfId="2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0" fillId="0" borderId="1" xfId="0" quotePrefix="1" applyBorder="1" applyAlignment="1" applyProtection="1">
      <alignment horizontal="left" vertical="center" wrapText="1"/>
      <protection locked="0"/>
    </xf>
    <xf numFmtId="0" fontId="0" fillId="0" borderId="0" xfId="0" quotePrefix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1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38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3" fillId="7" borderId="6" xfId="0" applyFont="1" applyFill="1" applyBorder="1" applyAlignment="1">
      <alignment vertical="center" wrapText="1"/>
    </xf>
    <xf numFmtId="0" fontId="13" fillId="7" borderId="7" xfId="0" applyFont="1" applyFill="1" applyBorder="1" applyAlignment="1">
      <alignment vertical="center" wrapText="1"/>
    </xf>
    <xf numFmtId="0" fontId="16" fillId="7" borderId="6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top" wrapText="1"/>
    </xf>
    <xf numFmtId="0" fontId="3" fillId="0" borderId="1" xfId="0" applyFont="1" applyBorder="1"/>
    <xf numFmtId="0" fontId="1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6" fillId="0" borderId="1" xfId="0" applyFont="1" applyBorder="1"/>
    <xf numFmtId="0" fontId="2" fillId="3" borderId="1" xfId="0" applyFont="1" applyFill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5" fillId="4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5" fillId="13" borderId="1" xfId="0" applyFont="1" applyFill="1" applyBorder="1" applyAlignment="1" applyProtection="1">
      <alignment horizontal="center" vertical="center" wrapText="1"/>
    </xf>
    <xf numFmtId="0" fontId="5" fillId="13" borderId="0" xfId="0" applyFont="1" applyFill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left" vertical="center" wrapText="1"/>
    </xf>
    <xf numFmtId="0" fontId="1" fillId="4" borderId="1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horizontal="left" vertical="center" wrapText="1"/>
    </xf>
    <xf numFmtId="0" fontId="3" fillId="0" borderId="3" xfId="0" applyFont="1" applyBorder="1" applyAlignment="1" applyProtection="1">
      <alignment horizontal="left" vertical="center" wrapText="1"/>
    </xf>
    <xf numFmtId="0" fontId="3" fillId="0" borderId="4" xfId="0" applyFont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10" borderId="2" xfId="0" applyFont="1" applyFill="1" applyBorder="1" applyAlignment="1" applyProtection="1">
      <alignment horizontal="center" vertical="center" wrapText="1"/>
    </xf>
    <xf numFmtId="0" fontId="3" fillId="10" borderId="3" xfId="0" applyFont="1" applyFill="1" applyBorder="1" applyAlignment="1" applyProtection="1">
      <alignment horizontal="center" vertical="center" wrapText="1"/>
    </xf>
    <xf numFmtId="0" fontId="3" fillId="10" borderId="4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1" fillId="7" borderId="1" xfId="0" applyFont="1" applyFill="1" applyBorder="1" applyAlignment="1" applyProtection="1">
      <alignment horizontal="left" vertical="center" wrapText="1"/>
    </xf>
    <xf numFmtId="0" fontId="1" fillId="7" borderId="2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/>
    </xf>
    <xf numFmtId="0" fontId="1" fillId="3" borderId="10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" xfId="0" applyFont="1" applyBorder="1" applyAlignment="1" applyProtection="1">
      <alignment horizontal="left" vertical="center" wrapText="1"/>
    </xf>
    <xf numFmtId="0" fontId="1" fillId="4" borderId="1" xfId="0" applyFont="1" applyFill="1" applyBorder="1" applyAlignment="1" applyProtection="1">
      <alignment horizontal="left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vertical="top" wrapText="1"/>
    </xf>
    <xf numFmtId="0" fontId="3" fillId="7" borderId="1" xfId="0" applyFont="1" applyFill="1" applyBorder="1" applyAlignment="1" applyProtection="1">
      <alignment horizontal="left" vertical="center" wrapText="1"/>
    </xf>
    <xf numFmtId="0" fontId="1" fillId="7" borderId="1" xfId="0" applyFont="1" applyFill="1" applyBorder="1" applyAlignment="1" applyProtection="1">
      <alignment horizontal="left" vertical="center" wrapText="1"/>
    </xf>
    <xf numFmtId="0" fontId="1" fillId="3" borderId="11" xfId="0" applyFont="1" applyFill="1" applyBorder="1" applyAlignment="1" applyProtection="1">
      <alignment horizontal="left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 applyProtection="1">
      <alignment horizontal="center" vertical="center" wrapText="1"/>
    </xf>
    <xf numFmtId="0" fontId="4" fillId="5" borderId="4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12" borderId="1" xfId="0" applyFill="1" applyBorder="1" applyAlignment="1" applyProtection="1">
      <alignment horizontal="center" vertical="center"/>
    </xf>
    <xf numFmtId="0" fontId="0" fillId="15" borderId="1" xfId="0" applyFill="1" applyBorder="1" applyAlignment="1" applyProtection="1">
      <alignment horizontal="center" vertical="center"/>
    </xf>
    <xf numFmtId="0" fontId="34" fillId="15" borderId="1" xfId="0" applyFont="1" applyFill="1" applyBorder="1" applyAlignment="1" applyProtection="1">
      <alignment horizontal="center" vertical="center"/>
    </xf>
    <xf numFmtId="14" fontId="0" fillId="15" borderId="1" xfId="0" applyNumberFormat="1" applyFill="1" applyBorder="1" applyAlignment="1" applyProtection="1">
      <alignment horizontal="center" vertical="center"/>
    </xf>
    <xf numFmtId="0" fontId="0" fillId="15" borderId="1" xfId="0" applyFill="1" applyBorder="1" applyAlignment="1" applyProtection="1">
      <alignment horizontal="center" vertical="center" wrapText="1"/>
    </xf>
    <xf numFmtId="0" fontId="0" fillId="15" borderId="1" xfId="0" applyFill="1" applyBorder="1" applyAlignment="1" applyProtection="1">
      <alignment horizontal="left" vertical="center" wrapText="1"/>
    </xf>
    <xf numFmtId="164" fontId="0" fillId="16" borderId="1" xfId="0" applyNumberFormat="1" applyFill="1" applyBorder="1" applyAlignment="1" applyProtection="1">
      <alignment horizontal="center" vertical="center"/>
    </xf>
    <xf numFmtId="0" fontId="0" fillId="16" borderId="1" xfId="0" applyFill="1" applyBorder="1" applyProtection="1"/>
    <xf numFmtId="0" fontId="0" fillId="16" borderId="1" xfId="0" applyFill="1" applyBorder="1" applyAlignment="1" applyProtection="1">
      <alignment horizontal="center" vertical="center"/>
    </xf>
    <xf numFmtId="0" fontId="0" fillId="16" borderId="1" xfId="0" applyFill="1" applyBorder="1" applyAlignment="1" applyProtection="1">
      <alignment horizontal="center"/>
    </xf>
    <xf numFmtId="0" fontId="0" fillId="16" borderId="1" xfId="0" applyFill="1" applyBorder="1" applyAlignment="1" applyProtection="1">
      <alignment horizontal="center" vertical="center" wrapText="1"/>
    </xf>
    <xf numFmtId="9" fontId="0" fillId="16" borderId="1" xfId="0" applyNumberForma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0" xfId="0" applyProtection="1"/>
    <xf numFmtId="0" fontId="0" fillId="12" borderId="1" xfId="0" applyFill="1" applyBorder="1" applyAlignment="1" applyProtection="1">
      <alignment horizontal="center" vertical="center" wrapText="1"/>
    </xf>
    <xf numFmtId="0" fontId="34" fillId="15" borderId="1" xfId="0" applyFont="1" applyFill="1" applyBorder="1" applyAlignment="1" applyProtection="1">
      <alignment horizontal="center" vertical="center" wrapText="1"/>
    </xf>
    <xf numFmtId="14" fontId="0" fillId="15" borderId="1" xfId="0" applyNumberFormat="1" applyFill="1" applyBorder="1" applyAlignment="1" applyProtection="1">
      <alignment horizontal="center" vertical="center" wrapText="1"/>
    </xf>
    <xf numFmtId="164" fontId="0" fillId="16" borderId="1" xfId="0" applyNumberFormat="1" applyFill="1" applyBorder="1" applyAlignment="1" applyProtection="1">
      <alignment horizontal="center" vertical="center" wrapText="1"/>
    </xf>
    <xf numFmtId="0" fontId="0" fillId="16" borderId="1" xfId="0" applyFill="1" applyBorder="1" applyAlignment="1" applyProtection="1">
      <alignment wrapText="1"/>
    </xf>
    <xf numFmtId="0" fontId="0" fillId="16" borderId="1" xfId="0" applyFill="1" applyBorder="1" applyAlignment="1" applyProtection="1">
      <alignment horizontal="center" wrapText="1"/>
    </xf>
    <xf numFmtId="9" fontId="0" fillId="16" borderId="1" xfId="0" applyNumberFormat="1" applyFill="1" applyBorder="1" applyAlignment="1" applyProtection="1">
      <alignment horizontal="center" vertical="center" wrapText="1"/>
    </xf>
    <xf numFmtId="0" fontId="0" fillId="16" borderId="1" xfId="0" quotePrefix="1" applyFill="1" applyBorder="1" applyAlignment="1" applyProtection="1">
      <alignment horizontal="center" wrapText="1"/>
    </xf>
    <xf numFmtId="14" fontId="0" fillId="16" borderId="1" xfId="0" applyNumberFormat="1" applyFill="1" applyBorder="1" applyAlignment="1" applyProtection="1">
      <alignment horizontal="center" wrapText="1"/>
    </xf>
    <xf numFmtId="0" fontId="1" fillId="3" borderId="10" xfId="0" applyFont="1" applyFill="1" applyBorder="1" applyAlignment="1" applyProtection="1">
      <alignment vertical="center" wrapText="1"/>
    </xf>
    <xf numFmtId="0" fontId="1" fillId="3" borderId="11" xfId="0" applyFont="1" applyFill="1" applyBorder="1" applyAlignment="1" applyProtection="1">
      <alignment vertical="center" wrapText="1"/>
    </xf>
    <xf numFmtId="0" fontId="4" fillId="5" borderId="2" xfId="0" applyFont="1" applyFill="1" applyBorder="1" applyAlignment="1" applyProtection="1">
      <alignment vertical="center" wrapText="1"/>
    </xf>
    <xf numFmtId="0" fontId="4" fillId="5" borderId="3" xfId="0" applyFont="1" applyFill="1" applyBorder="1" applyAlignment="1" applyProtection="1">
      <alignment vertical="center" wrapText="1"/>
    </xf>
    <xf numFmtId="0" fontId="4" fillId="5" borderId="4" xfId="0" applyFont="1" applyFill="1" applyBorder="1" applyAlignment="1" applyProtection="1">
      <alignment vertical="center" wrapText="1"/>
    </xf>
    <xf numFmtId="14" fontId="0" fillId="16" borderId="1" xfId="0" applyNumberForma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</cellXfs>
  <cellStyles count="3">
    <cellStyle name="Hyperlink" xfId="2" xr:uid="{00000000-000B-0000-0000-000008000000}"/>
    <cellStyle name="Prozent" xfId="1" builtinId="5"/>
    <cellStyle name="Standard" xfId="0" builtinId="0"/>
  </cellStyles>
  <dxfs count="15"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99FF99"/>
          </stop>
        </gradientFill>
      </fill>
    </dxf>
    <dxf>
      <fill>
        <patternFill>
          <bgColor theme="9" tint="-0.24994659260841701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99FF99"/>
          </stop>
        </gradientFill>
      </fill>
    </dxf>
    <dxf>
      <fill>
        <patternFill>
          <bgColor theme="9" tint="-0.24994659260841701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0000FF"/>
      <color rgb="FF99FF99"/>
      <color rgb="FFBFBFBF"/>
      <color rgb="FFFFFF99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164523</xdr:colOff>
      <xdr:row>0</xdr:row>
      <xdr:rowOff>17318</xdr:rowOff>
    </xdr:from>
    <xdr:to>
      <xdr:col>7</xdr:col>
      <xdr:colOff>759580</xdr:colOff>
      <xdr:row>5</xdr:row>
      <xdr:rowOff>115512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2A7BCCA-9D5D-94AF-8155-E7AD928B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23" y="17318"/>
          <a:ext cx="6050284" cy="1007399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52</xdr:row>
      <xdr:rowOff>136641</xdr:rowOff>
    </xdr:from>
    <xdr:to>
      <xdr:col>8</xdr:col>
      <xdr:colOff>216530</xdr:colOff>
      <xdr:row>78</xdr:row>
      <xdr:rowOff>41390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A77EBD79-6421-84F5-C66F-1C37751A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91" y="9592368"/>
          <a:ext cx="6364484" cy="4632613"/>
        </a:xfrm>
        <a:prstGeom prst="rect">
          <a:avLst/>
        </a:prstGeom>
      </xdr:spPr>
    </xdr:pic>
    <xdr:clientData/>
  </xdr:twoCellAnchor>
  <xdr:twoCellAnchor editAs="oneCell">
    <xdr:from>
      <xdr:col>7</xdr:col>
      <xdr:colOff>760959</xdr:colOff>
      <xdr:row>0</xdr:row>
      <xdr:rowOff>0</xdr:rowOff>
    </xdr:from>
    <xdr:to>
      <xdr:col>15</xdr:col>
      <xdr:colOff>757150</xdr:colOff>
      <xdr:row>5</xdr:row>
      <xdr:rowOff>96062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B248CCE-1628-F974-687E-4EE8B566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6186" y="0"/>
          <a:ext cx="6230737" cy="1005267"/>
        </a:xfrm>
        <a:prstGeom prst="rect">
          <a:avLst/>
        </a:prstGeom>
      </xdr:spPr>
    </xdr:pic>
    <xdr:clientData/>
  </xdr:twoCellAnchor>
  <xdr:twoCellAnchor editAs="oneCell">
    <xdr:from>
      <xdr:col>8</xdr:col>
      <xdr:colOff>136640</xdr:colOff>
      <xdr:row>5</xdr:row>
      <xdr:rowOff>95249</xdr:rowOff>
    </xdr:from>
    <xdr:to>
      <xdr:col>16</xdr:col>
      <xdr:colOff>351213</xdr:colOff>
      <xdr:row>55</xdr:row>
      <xdr:rowOff>121389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BBC6227-4E0E-8BE8-6286-1996C21E3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1185" y="1004454"/>
          <a:ext cx="6449119" cy="9118185"/>
        </a:xfrm>
        <a:prstGeom prst="rect">
          <a:avLst/>
        </a:prstGeom>
      </xdr:spPr>
    </xdr:pic>
    <xdr:clientData/>
  </xdr:twoCellAnchor>
  <xdr:twoCellAnchor editAs="oneCell">
    <xdr:from>
      <xdr:col>8</xdr:col>
      <xdr:colOff>50049</xdr:colOff>
      <xdr:row>55</xdr:row>
      <xdr:rowOff>19223</xdr:rowOff>
    </xdr:from>
    <xdr:to>
      <xdr:col>16</xdr:col>
      <xdr:colOff>651179</xdr:colOff>
      <xdr:row>77</xdr:row>
      <xdr:rowOff>19395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4D5DBACF-2C28-4C4B-44B1-EA2EBC1C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4594" y="10020473"/>
          <a:ext cx="6835676" cy="4000672"/>
        </a:xfrm>
        <a:prstGeom prst="rect">
          <a:avLst/>
        </a:prstGeom>
      </xdr:spPr>
    </xdr:pic>
    <xdr:clientData/>
  </xdr:twoCellAnchor>
  <xdr:twoCellAnchor editAs="oneCell">
    <xdr:from>
      <xdr:col>0</xdr:col>
      <xdr:colOff>130060</xdr:colOff>
      <xdr:row>5</xdr:row>
      <xdr:rowOff>103909</xdr:rowOff>
    </xdr:from>
    <xdr:to>
      <xdr:col>8</xdr:col>
      <xdr:colOff>63635</xdr:colOff>
      <xdr:row>52</xdr:row>
      <xdr:rowOff>159674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E7146F03-03D9-6D5A-23B7-68BC019B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060" y="1013114"/>
          <a:ext cx="6168120" cy="8602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5</xdr:row>
      <xdr:rowOff>533399</xdr:rowOff>
    </xdr:from>
    <xdr:to>
      <xdr:col>2</xdr:col>
      <xdr:colOff>385762</xdr:colOff>
      <xdr:row>7</xdr:row>
      <xdr:rowOff>9523</xdr:rowOff>
    </xdr:to>
    <xdr:pic>
      <xdr:nvPicPr>
        <xdr:cNvPr id="2" name="Bild 39" descr="http://eeas.europa.eu/delegations/images/content/embassies/flag_germany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1952624"/>
          <a:ext cx="385763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761999</xdr:colOff>
      <xdr:row>7</xdr:row>
      <xdr:rowOff>247649</xdr:rowOff>
    </xdr:from>
    <xdr:to>
      <xdr:col>2</xdr:col>
      <xdr:colOff>385762</xdr:colOff>
      <xdr:row>9</xdr:row>
      <xdr:rowOff>9524</xdr:rowOff>
    </xdr:to>
    <xdr:pic>
      <xdr:nvPicPr>
        <xdr:cNvPr id="4" name="Bild 56" descr="http://eeas.europa.eu/delegations/images/content/embassies/flag_unking.gif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1933574"/>
          <a:ext cx="385763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761999</xdr:colOff>
      <xdr:row>9</xdr:row>
      <xdr:rowOff>247649</xdr:rowOff>
    </xdr:from>
    <xdr:to>
      <xdr:col>2</xdr:col>
      <xdr:colOff>385762</xdr:colOff>
      <xdr:row>11</xdr:row>
      <xdr:rowOff>9524</xdr:rowOff>
    </xdr:to>
    <xdr:pic>
      <xdr:nvPicPr>
        <xdr:cNvPr id="5" name="Bild 38" descr="http://eeas.europa.eu/delegations/images/content/embassies/flag_france.gif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2428874"/>
          <a:ext cx="385763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761999</xdr:colOff>
      <xdr:row>11</xdr:row>
      <xdr:rowOff>247649</xdr:rowOff>
    </xdr:from>
    <xdr:to>
      <xdr:col>2</xdr:col>
      <xdr:colOff>385762</xdr:colOff>
      <xdr:row>13</xdr:row>
      <xdr:rowOff>9524</xdr:rowOff>
    </xdr:to>
    <xdr:pic>
      <xdr:nvPicPr>
        <xdr:cNvPr id="6" name="Bild 43" descr="http://eeas.europa.eu/delegations/images/content/embassies/flag_italy.gif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2924174"/>
          <a:ext cx="385763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761999</xdr:colOff>
      <xdr:row>13</xdr:row>
      <xdr:rowOff>247649</xdr:rowOff>
    </xdr:from>
    <xdr:to>
      <xdr:col>2</xdr:col>
      <xdr:colOff>385762</xdr:colOff>
      <xdr:row>15</xdr:row>
      <xdr:rowOff>9524</xdr:rowOff>
    </xdr:to>
    <xdr:pic>
      <xdr:nvPicPr>
        <xdr:cNvPr id="7" name="Bild 54" descr="http://eeas.europa.eu/delegations/images/content/embassies/flag_spain.gif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3419474"/>
          <a:ext cx="385763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123825</xdr:colOff>
      <xdr:row>6</xdr:row>
      <xdr:rowOff>76200</xdr:rowOff>
    </xdr:from>
    <xdr:to>
      <xdr:col>4</xdr:col>
      <xdr:colOff>609600</xdr:colOff>
      <xdr:row>6</xdr:row>
      <xdr:rowOff>180975</xdr:rowOff>
    </xdr:to>
    <xdr:sp macro="" textlink="">
      <xdr:nvSpPr>
        <xdr:cNvPr id="10" name="Eingekerbter Pfeil nach recht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590925" y="15144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114300</xdr:colOff>
      <xdr:row>8</xdr:row>
      <xdr:rowOff>76200</xdr:rowOff>
    </xdr:from>
    <xdr:to>
      <xdr:col>4</xdr:col>
      <xdr:colOff>600075</xdr:colOff>
      <xdr:row>8</xdr:row>
      <xdr:rowOff>180975</xdr:rowOff>
    </xdr:to>
    <xdr:sp macro="" textlink="">
      <xdr:nvSpPr>
        <xdr:cNvPr id="13" name="Eingekerbter Pfeil nach rechts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581400" y="20097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114300</xdr:colOff>
      <xdr:row>10</xdr:row>
      <xdr:rowOff>76200</xdr:rowOff>
    </xdr:from>
    <xdr:to>
      <xdr:col>4</xdr:col>
      <xdr:colOff>600075</xdr:colOff>
      <xdr:row>10</xdr:row>
      <xdr:rowOff>180975</xdr:rowOff>
    </xdr:to>
    <xdr:sp macro="" textlink="">
      <xdr:nvSpPr>
        <xdr:cNvPr id="14" name="Eingekerbter Pfeil nach rechts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3581400" y="25050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114300</xdr:colOff>
      <xdr:row>12</xdr:row>
      <xdr:rowOff>76200</xdr:rowOff>
    </xdr:from>
    <xdr:to>
      <xdr:col>4</xdr:col>
      <xdr:colOff>600075</xdr:colOff>
      <xdr:row>12</xdr:row>
      <xdr:rowOff>180975</xdr:rowOff>
    </xdr:to>
    <xdr:sp macro="" textlink="">
      <xdr:nvSpPr>
        <xdr:cNvPr id="15" name="Eingekerbter Pfeil nach rechts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581400" y="30003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114300</xdr:colOff>
      <xdr:row>14</xdr:row>
      <xdr:rowOff>76200</xdr:rowOff>
    </xdr:from>
    <xdr:to>
      <xdr:col>4</xdr:col>
      <xdr:colOff>600075</xdr:colOff>
      <xdr:row>14</xdr:row>
      <xdr:rowOff>180975</xdr:rowOff>
    </xdr:to>
    <xdr:sp macro="" textlink="">
      <xdr:nvSpPr>
        <xdr:cNvPr id="16" name="Eingekerbter Pfeil nach rechts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581400" y="34956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180975</xdr:colOff>
      <xdr:row>6</xdr:row>
      <xdr:rowOff>152400</xdr:rowOff>
    </xdr:from>
    <xdr:to>
      <xdr:col>6</xdr:col>
      <xdr:colOff>666750</xdr:colOff>
      <xdr:row>7</xdr:row>
      <xdr:rowOff>9525</xdr:rowOff>
    </xdr:to>
    <xdr:sp macro="" textlink="">
      <xdr:nvSpPr>
        <xdr:cNvPr id="18" name="Eingekerbter Pfeil nach rechts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900000">
          <a:off x="4705350" y="1590675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171450</xdr:colOff>
      <xdr:row>8</xdr:row>
      <xdr:rowOff>28575</xdr:rowOff>
    </xdr:from>
    <xdr:to>
      <xdr:col>6</xdr:col>
      <xdr:colOff>657225</xdr:colOff>
      <xdr:row>8</xdr:row>
      <xdr:rowOff>133350</xdr:rowOff>
    </xdr:to>
    <xdr:sp macro="" textlink="">
      <xdr:nvSpPr>
        <xdr:cNvPr id="19" name="Eingekerbter Pfeil nach rechts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 rot="-900000">
          <a:off x="4695825" y="1962150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133350</xdr:colOff>
      <xdr:row>7</xdr:row>
      <xdr:rowOff>85725</xdr:rowOff>
    </xdr:from>
    <xdr:to>
      <xdr:col>8</xdr:col>
      <xdr:colOff>619125</xdr:colOff>
      <xdr:row>7</xdr:row>
      <xdr:rowOff>190500</xdr:rowOff>
    </xdr:to>
    <xdr:sp macro="" textlink="">
      <xdr:nvSpPr>
        <xdr:cNvPr id="21" name="Eingekerbter Pfeil nach rechts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6181725" y="1771650"/>
          <a:ext cx="485775" cy="104775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371475</xdr:colOff>
      <xdr:row>14</xdr:row>
      <xdr:rowOff>114300</xdr:rowOff>
    </xdr:from>
    <xdr:to>
      <xdr:col>7</xdr:col>
      <xdr:colOff>476250</xdr:colOff>
      <xdr:row>16</xdr:row>
      <xdr:rowOff>114300</xdr:rowOff>
    </xdr:to>
    <xdr:sp macro="" textlink="">
      <xdr:nvSpPr>
        <xdr:cNvPr id="17" name="Eingekerbter Pfeil nach rechts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5400000">
          <a:off x="5086350" y="4267200"/>
          <a:ext cx="485775" cy="104775"/>
        </a:xfrm>
        <a:prstGeom prst="notched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19051</xdr:colOff>
      <xdr:row>6</xdr:row>
      <xdr:rowOff>219076</xdr:rowOff>
    </xdr:from>
    <xdr:to>
      <xdr:col>9</xdr:col>
      <xdr:colOff>2762251</xdr:colOff>
      <xdr:row>8</xdr:row>
      <xdr:rowOff>19051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010401" y="2181226"/>
          <a:ext cx="27432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9</xdr:col>
      <xdr:colOff>962024</xdr:colOff>
      <xdr:row>5</xdr:row>
      <xdr:rowOff>533401</xdr:rowOff>
    </xdr:from>
    <xdr:to>
      <xdr:col>9</xdr:col>
      <xdr:colOff>1095374</xdr:colOff>
      <xdr:row>7</xdr:row>
      <xdr:rowOff>9526</xdr:rowOff>
    </xdr:to>
    <xdr:sp macro="" textlink="">
      <xdr:nvSpPr>
        <xdr:cNvPr id="20" name="Eingekerbter Pfeil nach rechts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5400000">
          <a:off x="7886699" y="2019301"/>
          <a:ext cx="266700" cy="133350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257174</xdr:colOff>
      <xdr:row>0</xdr:row>
      <xdr:rowOff>219075</xdr:rowOff>
    </xdr:from>
    <xdr:to>
      <xdr:col>10</xdr:col>
      <xdr:colOff>19050</xdr:colOff>
      <xdr:row>2</xdr:row>
      <xdr:rowOff>9525</xdr:rowOff>
    </xdr:to>
    <xdr:sp macro="" textlink="">
      <xdr:nvSpPr>
        <xdr:cNvPr id="9" name="Abgerundetes Rechtec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638174" y="219075"/>
          <a:ext cx="8791576" cy="495300"/>
        </a:xfrm>
        <a:prstGeom prst="roundRect">
          <a:avLst>
            <a:gd name="adj" fmla="val 28206"/>
          </a:avLst>
        </a:prstGeom>
        <a:solidFill>
          <a:schemeClr val="accent1">
            <a:alpha val="2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19050</xdr:colOff>
      <xdr:row>6</xdr:row>
      <xdr:rowOff>200025</xdr:rowOff>
    </xdr:from>
    <xdr:to>
      <xdr:col>15</xdr:col>
      <xdr:colOff>95795</xdr:colOff>
      <xdr:row>8</xdr:row>
      <xdr:rowOff>19076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EC5081EE-0F13-2947-2099-552AB8F9A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00850" y="2124075"/>
          <a:ext cx="6287045" cy="297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79374</xdr:colOff>
      <xdr:row>1</xdr:row>
      <xdr:rowOff>19685</xdr:rowOff>
    </xdr:from>
    <xdr:to>
      <xdr:col>17</xdr:col>
      <xdr:colOff>460374</xdr:colOff>
      <xdr:row>56</xdr:row>
      <xdr:rowOff>7586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A040072-6CEB-4598-8DE4-B4F4CAF9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4" y="194310"/>
          <a:ext cx="13604875" cy="959227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</xdr:colOff>
      <xdr:row>57</xdr:row>
      <xdr:rowOff>0</xdr:rowOff>
    </xdr:from>
    <xdr:to>
      <xdr:col>17</xdr:col>
      <xdr:colOff>460375</xdr:colOff>
      <xdr:row>112</xdr:row>
      <xdr:rowOff>39934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EBF9239-DAC6-4A3B-9032-C0B52A694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" y="9953625"/>
          <a:ext cx="13634720" cy="9644309"/>
        </a:xfrm>
        <a:prstGeom prst="rect">
          <a:avLst/>
        </a:prstGeom>
      </xdr:spPr>
    </xdr:pic>
    <xdr:clientData/>
  </xdr:twoCellAnchor>
  <xdr:twoCellAnchor editAs="oneCell">
    <xdr:from>
      <xdr:col>0</xdr:col>
      <xdr:colOff>59689</xdr:colOff>
      <xdr:row>113</xdr:row>
      <xdr:rowOff>0</xdr:rowOff>
    </xdr:from>
    <xdr:to>
      <xdr:col>17</xdr:col>
      <xdr:colOff>444499</xdr:colOff>
      <xdr:row>168</xdr:row>
      <xdr:rowOff>17655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85073B49-0456-45CB-A2DA-332F58C0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89" y="19732625"/>
          <a:ext cx="13608685" cy="96220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stl/Downloads/artikelpass_stand_neu_08_03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itfaden - guide "/>
      <sheetName val="Start"/>
      <sheetName val="Arzneimittel"/>
      <sheetName val="Ersatzteil-nicht Medizinprodukt"/>
      <sheetName val="Medizinprodukt"/>
      <sheetName val="Diverse"/>
      <sheetName val="Artikelpass gesamt"/>
      <sheetName val="Header_Data"/>
      <sheetName val="Änd.historie-historyfolder"/>
      <sheetName val="Verpackungsgewichte (34.ff)"/>
    </sheetNames>
    <sheetDataSet>
      <sheetData sheetId="0"/>
      <sheetData sheetId="1">
        <row r="20">
          <cell r="H20">
            <v>11</v>
          </cell>
        </row>
        <row r="21">
          <cell r="H21">
            <v>12</v>
          </cell>
        </row>
        <row r="22">
          <cell r="H22">
            <v>13</v>
          </cell>
        </row>
        <row r="23">
          <cell r="H23">
            <v>14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A3">
            <v>11</v>
          </cell>
          <cell r="B3" t="str">
            <v>1. Steuerzeichen, neuer Artikel beginnt</v>
          </cell>
          <cell r="C3" t="str">
            <v>2. Ansprechpartner</v>
          </cell>
          <cell r="F3" t="str">
            <v>3. Datum der Gültigkeit des Artikeldatensatzes</v>
          </cell>
          <cell r="G3" t="str">
            <v>4. Status</v>
          </cell>
          <cell r="H3" t="str">
            <v xml:space="preserve">4.1. Exakte Lieferanten-Artikelnummer des Vorgängerartikels </v>
          </cell>
          <cell r="I3" t="str">
            <v>4.2. Artikelveröffentlichung zugelassen ab</v>
          </cell>
          <cell r="J3" t="str">
            <v>4.3. Artikel lieferbar ab</v>
          </cell>
          <cell r="K3" t="str">
            <v>4.4. Verpackungsart des Artikels?</v>
          </cell>
          <cell r="L3" t="str">
            <v>5. Auslaufartikel</v>
          </cell>
          <cell r="M3" t="str">
            <v>5.1. Auslaufartikel lieferbar bis</v>
          </cell>
          <cell r="N3" t="str">
            <v>5.2. Exakte Lieferanten-Artikelnummer des Alternativartikels</v>
          </cell>
          <cell r="O3" t="str">
            <v>6. Lieferantenname</v>
          </cell>
          <cell r="P3" t="str">
            <v>7. Exakte Lieferanten-Artikelnummer</v>
          </cell>
          <cell r="Q3" t="str">
            <v>8. Exakte Artikelbezeichnung</v>
          </cell>
          <cell r="R3" t="str">
            <v>9. Herstellername</v>
          </cell>
          <cell r="S3" t="str">
            <v>10. Exakte Hersteller-Artikelnummer</v>
          </cell>
          <cell r="T3" t="str">
            <v>11. Produktzulassung zum Vertrieb gemäß den einschlägigen gesetzlichen oder behördlichen Bestimmungen besteht für folgende Länder:</v>
          </cell>
          <cell r="U3" t="str">
            <v>12. CE-Kennzeichnung auf dem Produkt vorhanden [innen (i), außen (o)]?</v>
          </cell>
          <cell r="V3" t="str">
            <v>13. Hat das Produkt einen Barcode/UDI-DI?</v>
          </cell>
          <cell r="W3" t="str">
            <v>13.1.1. GTIN / EAN - kleinste Verkaufseinheit
(Global Trade Item Number / European Article Number)</v>
          </cell>
          <cell r="X3" t="str">
            <v>13.1.2. GTIN / EAN - Pack
(Global Trade Item Number / European Article Number)</v>
          </cell>
          <cell r="Y3" t="str">
            <v>13.1.3. GTIN / EAN - Karton
(Global Trade Item Number / European Article Number)</v>
          </cell>
          <cell r="Z3" t="str">
            <v>13.1.4. GTIN / EAN - Palette
(Global Trade Item Number / European Article Number)</v>
          </cell>
          <cell r="AA3" t="str">
            <v>13.2.1 HIBC - Kleinste Verkaufseinheit
(Health Industry Bar Code)</v>
          </cell>
          <cell r="AB3" t="str">
            <v>13.2.2 HIBC - Pack
(Health Industry Bar Code)</v>
          </cell>
          <cell r="AC3" t="str">
            <v>13.2.3 HIBC - Karton
(Health Industry Bar Code)</v>
          </cell>
          <cell r="AD3" t="str">
            <v>13.2.4 HIBC - Palette
(Health Industry Bar Code)</v>
          </cell>
          <cell r="AE3" t="str">
            <v>13.3. PPN (Pharmacy Product Number)</v>
          </cell>
          <cell r="AF3" t="str">
            <v>13.4. PZN DE (Pharmazentralnummer)</v>
          </cell>
          <cell r="AG3" t="str">
            <v>14. eCl@ss-Code</v>
          </cell>
          <cell r="AH3" t="str">
            <v>14.1. eCl@ss-Version</v>
          </cell>
          <cell r="AI3" t="str">
            <v>15. In welchem Medizinbereich erfolgt die Anwendung des Artikels?</v>
          </cell>
          <cell r="AJ3" t="str">
            <v>16. Einsatzort des Produktes</v>
          </cell>
          <cell r="AK3" t="str">
            <v>17. Ist Artikel ein Steril-Produkt?</v>
          </cell>
          <cell r="AL3" t="str">
            <v>18. Etikett/Produktverpackung ist sprachneutral
(nur Eigenname und Piktogramme angedruckt)</v>
          </cell>
          <cell r="AM3" t="str">
            <v>18.1. Folgende Sprachen werden auf dem Etikett/Produktverpackung verwendet</v>
          </cell>
          <cell r="AN3" t="str">
            <v>19. Wird eine Gebrauchsanweisung benötigt?</v>
          </cell>
          <cell r="AO3" t="str">
            <v>19.1. Folgende Sprachen sind in der Gebrauchsanweisung enthalten:</v>
          </cell>
          <cell r="AP3" t="str">
            <v>20. Hat der Artikel hat eine Beschränkung in den Lager- und Transporttemperaturen?</v>
          </cell>
          <cell r="AQ3" t="str">
            <v>20.1. Lagertemperatur</v>
          </cell>
          <cell r="AS3" t="str">
            <v>20.2. Transporttemperatur</v>
          </cell>
          <cell r="AU3" t="str">
            <v>20.3. Maximal zulässige Dauer der Transporttemperatur</v>
          </cell>
          <cell r="AV3" t="str">
            <v>20.4. Artikel ist frostempfindlich</v>
          </cell>
          <cell r="AW3" t="str">
            <v>21. Ist der Artikel ein Arzneimittel?</v>
          </cell>
          <cell r="AX3" t="str">
            <v xml:space="preserve">21.1. Artikel ist ein Betäubungsmittel? </v>
          </cell>
          <cell r="AY3" t="str">
            <v>21.2. Artikel ist ein Fertigarzneimittel?</v>
          </cell>
          <cell r="AZ3" t="str">
            <v>21.3. Artikel dient zum Ersatz oder zur Korrektur von Körperflüssigkeiten?</v>
          </cell>
          <cell r="BA3" t="str">
            <v>21.4. Artikel ist nur zur Anwendung in der Zahnheilkunde?</v>
          </cell>
          <cell r="BB3" t="str">
            <v>21.5. Artikel ist apothekenpflichtig?</v>
          </cell>
          <cell r="BC3" t="str">
            <v>21.6. Artikel ist verschreibungs- pflichtig?</v>
          </cell>
          <cell r="BD3" t="str">
            <v>21.7. Artikel ist freiverkäuflich?</v>
          </cell>
          <cell r="BE3" t="str">
            <v>21.8. Produkt unterliegt dem GKV-WSG vom 01.04.2007?
(Gesetz zur Stärkung des Wettbewerbs in der gesetzlichen Krankenversicherung)</v>
          </cell>
          <cell r="BF3" t="str">
            <v>21.9. Vertrieb nur an Personen mit humanmedizinischer Grundausbildung?</v>
          </cell>
          <cell r="BG3" t="str">
            <v>21.10. Arzneimittel ist für folgende Länder zugelassen:</v>
          </cell>
          <cell r="BH3" t="str">
            <v xml:space="preserve">21.11. Zulassungsnummer des Arzneimittels </v>
          </cell>
          <cell r="BI3" t="str">
            <v>22. Artikel ist ein Medizinprodukt?</v>
          </cell>
          <cell r="BJ3" t="str">
            <v xml:space="preserve">22.1. Klasse des Medizinproduktes </v>
          </cell>
          <cell r="BK3" t="str">
            <v>22.2. Produkt fällt unter die MPAV?
(Medizinprodukte-Abgabeverordnung)</v>
          </cell>
          <cell r="BL3" t="str">
            <v>22.3. Produkt ist Verbrauchsmaterial als Sprechstundenbedarf? 
(nur Fluoridierungsprodukte)</v>
          </cell>
          <cell r="BM3" t="str">
            <v>23. Artikel ist ein Ersatzteil?</v>
          </cell>
          <cell r="BN3" t="str">
            <v xml:space="preserve">23.1. Rücksendepflichtiger Reparatur-Austausch ? </v>
          </cell>
          <cell r="BO3" t="str">
            <v>24. Artikel ist ein Biozid?</v>
          </cell>
          <cell r="BP3" t="str">
            <v>24.1 BAUA-Registriernummer
(Bundesanstalt für Arbeitsschutz und Arbeitsmedizin)</v>
          </cell>
          <cell r="BQ3" t="str">
            <v>25. Artikel ist ein Lebensmittel?</v>
          </cell>
          <cell r="BR3" t="str">
            <v>26. Artikel ist ein Kosmetikprodukt?</v>
          </cell>
          <cell r="BS3" t="str">
            <v>27. VOC-Gehalt angeben
(Flüchtige Organische Verbindungen)</v>
          </cell>
          <cell r="BT3" t="str">
            <v>28. Sicherheitsdatenblatt (SDB) vorhanden?</v>
          </cell>
          <cell r="BU3" t="str">
            <v xml:space="preserve">28.1. Aktuelles Überarbeitungsdatum des Sicherheitsdatenblattes </v>
          </cell>
          <cell r="BV3" t="str">
            <v>28.2. Artikel fällt unter die Chemikalien- Verbotsverordnung (ChemVerbotsV)?</v>
          </cell>
          <cell r="BW3" t="str">
            <v xml:space="preserve">29. Artikel ist ein Gefahrgut? </v>
          </cell>
          <cell r="BX3" t="str">
            <v>29.1. Artikel fällt unter Limited Quantity (LQ, Begrenzte Menge)</v>
          </cell>
          <cell r="BY3" t="str">
            <v>29.2. Gefahrgutklasse nach ADR</v>
          </cell>
          <cell r="BZ3" t="str">
            <v>29.3. Benennung und Beschreibung lt. ADR-Tabelle</v>
          </cell>
          <cell r="CA3" t="str">
            <v xml:space="preserve">29.4. UN-Nummer </v>
          </cell>
          <cell r="CB3" t="str">
            <v>29.5. Nummer zur Kennzeichnung der Gefahr</v>
          </cell>
          <cell r="CC3" t="str">
            <v>29.6. Beförderungs- kategorie</v>
          </cell>
          <cell r="CD3" t="str">
            <v>29.7. Verpackungs- gruppe</v>
          </cell>
          <cell r="CE3" t="str">
            <v>29.8. Abfallschlüssel (für Produkt)</v>
          </cell>
          <cell r="CF3" t="str">
            <v>29.9. Lagerklasse</v>
          </cell>
          <cell r="CG3" t="str">
            <v>29.10. Klassifizierungscode</v>
          </cell>
          <cell r="CH3" t="str">
            <v>29.11. Tunnelbeschränkungs- code</v>
          </cell>
          <cell r="CI3" t="str">
            <v>29.12. Gefahrzettel</v>
          </cell>
          <cell r="CJ3" t="str">
            <v>29.13. Inhalt pro Innenverpackung</v>
          </cell>
          <cell r="CK3" t="str">
            <v>29.14. Verpackungsart</v>
          </cell>
          <cell r="CL3" t="str">
            <v>29.15. Umwelt- gefährdung</v>
          </cell>
          <cell r="CM3" t="str">
            <v>29.16. Wassergefährdungsklasse (WGK) in DE</v>
          </cell>
          <cell r="CN3" t="str">
            <v>29.17. Produkt enthält per- oder teilfluorierte Kohlenwasserstoffe (FKW und HFKW)</v>
          </cell>
          <cell r="CO3" t="str">
            <v>30. Verpackung hat eine von außen deutlich erkennbare Chargenkennzeichnung/LOT?</v>
          </cell>
          <cell r="CP3" t="str">
            <v>31. Artikel hat eine Verfallszeit?</v>
          </cell>
          <cell r="CQ3" t="str">
            <v>31.1. Verpackung hat ein von außen deutlich erkennbares Verfalldatum?</v>
          </cell>
          <cell r="CR3" t="str">
            <v>31.2. Verwendungszeit nach Anbruch auf der Verpackung angedruckt?</v>
          </cell>
          <cell r="CS3" t="str">
            <v>31.3. Verpackung hat ein von außen deutlich erkennbares Herstelldatum?</v>
          </cell>
          <cell r="CT3" t="str">
            <v>32. Artikel ist ein Gerät?</v>
          </cell>
          <cell r="CU3" t="str">
            <v>32.1. Exakte Maße des Gerätes (ohne Umverpackung)</v>
          </cell>
          <cell r="CX3" t="str">
            <v>32.2. Fassungsvermögen des Gerätes?</v>
          </cell>
          <cell r="CY3" t="str">
            <v>32.3. Anwendungs-temperatur?</v>
          </cell>
          <cell r="CZ3" t="str">
            <v>32.4. Leistung?</v>
          </cell>
          <cell r="DA3" t="str">
            <v>32.5. Techniker ist zur Installation notwendig?</v>
          </cell>
          <cell r="DC3" t="str">
            <v>32.6.1. Anzahl der angedruckten Serialnummern
(Z. B. in einem Set)?</v>
          </cell>
          <cell r="DD3" t="str">
            <v xml:space="preserve"> </v>
          </cell>
          <cell r="DE3" t="str">
            <v>32.7.1. Artikel ist in Europa nach ElektroG (WEEE) registriert?</v>
          </cell>
          <cell r="DF3" t="str">
            <v>32.7.2. Artikel ist registrierungspflichtig nach ElektroG (WEEE)?</v>
          </cell>
          <cell r="DH3" t="str">
            <v>32.8.1. Artikel ist in Deutschland nach dem BattG registriert?</v>
          </cell>
          <cell r="DI3" t="str">
            <v>32.8.2. Batterie-/Akkutyp:</v>
          </cell>
          <cell r="DJ3" t="str">
            <v>32.8.3. Anzahl der Batterien/ Akkus:</v>
          </cell>
          <cell r="DK3" t="str">
            <v>32.8.4. Batterien/ Akkus sind fest verbaut?</v>
          </cell>
          <cell r="DL3" t="str">
            <v>33. Artikel hat Garantie oder Gewährleistung?</v>
          </cell>
          <cell r="DM3" t="str">
            <v>33.1. Gewährleistungsdauer nach Lieferung an Handel:</v>
          </cell>
          <cell r="DN3" t="str">
            <v>33.2. Gewährleistungsdauer nach Lieferung an unseren Kunden:</v>
          </cell>
          <cell r="DO3" t="str">
            <v>33.3. Garantiedauer ab Lieferung an den Handel</v>
          </cell>
          <cell r="DP3" t="str">
            <v>33.4. Garantiedauer nach Lieferung an unseren Kunden</v>
          </cell>
          <cell r="DQ3" t="str">
            <v>34. Verkaufsverpackung ist durch ein Duales System in Deutschland lizensiert?</v>
          </cell>
          <cell r="DR3" t="str">
            <v>34.1. Verpackungsgewicht der Großpackung/Bulk inkl. Füllstoffe, ohne Einzelverpackung (Sekundärverpackung)</v>
          </cell>
          <cell r="DX3" t="str">
            <v>34.2. Darf Großpackung über ein Duales System (siehe angegebene Verpackungsarten) entsorgt werden?</v>
          </cell>
          <cell r="DY3" t="str">
            <v>34.3. Verpackungsgewicht der Einzel-/Normalverpackung ohne Produkt (Primärverpackung)</v>
          </cell>
          <cell r="EE3" t="str">
            <v>34.4. Normalverpackung darf über ein Duales System (siehe angegebene Verpackungsarten) entsorgt werden?</v>
          </cell>
          <cell r="EF3" t="str">
            <v>34.5. Gewicht des restentleerten Produktes (anwendbar, wenn Produkt weggeworfen wird, z.B. Spritze)</v>
          </cell>
          <cell r="EL3" t="str">
            <v>34.6. Darf restentleerte Produktverpackung über ein Duales System entsorgt werden?</v>
          </cell>
          <cell r="EM3" t="str">
            <v>35. Mindest-bestellmenge</v>
          </cell>
          <cell r="EN3" t="str">
            <v>36. Inhalt pro Einzelverpackung</v>
          </cell>
          <cell r="EO3" t="str">
            <v>37. Größe und Gewicht der Einzelverpackung</v>
          </cell>
          <cell r="ET3" t="str">
            <v>38. Artikel hat eine Umverpackung?</v>
          </cell>
          <cell r="EU3" t="str">
            <v>38.1. Umverpackung darf geöffnet und der Artikel ohne diese versendet werden?</v>
          </cell>
          <cell r="EV3" t="str">
            <v>38.2. Anzahl der Einzelpackungen pro Umverpackung</v>
          </cell>
          <cell r="EW3" t="str">
            <v>38.3. Größe und Gewicht der Umverpackung inkl. der Einzelpackungen</v>
          </cell>
          <cell r="FB3" t="str">
            <v>39. Gibt es Konfektionierungs-hinweise zu beachten?</v>
          </cell>
          <cell r="FC3" t="str">
            <v>39.1. Konfektionierungs-hinweise aufführen</v>
          </cell>
          <cell r="FD3" t="str">
            <v>39.2. Anzahl Artikel pro Palette</v>
          </cell>
          <cell r="FE3" t="str">
            <v>39.3. Palettenhöhe</v>
          </cell>
          <cell r="FF3" t="str">
            <v>40. Zolltarif-Nr. / Warentarifnr.
(8-11-stellig)</v>
          </cell>
          <cell r="FG3" t="str">
            <v>41. Dual-Use-Artikel?
(Nach EG-Dual-Use Verordnung)</v>
          </cell>
          <cell r="FH3" t="str">
            <v>42. Ursprungsland</v>
          </cell>
          <cell r="FI3" t="str">
            <v>43. Ursprungs-bundesland/-provinz (falls zutreffend)</v>
          </cell>
          <cell r="FJ3" t="str">
            <v>44. Artikel mit Präferenzursprungs-eigenschaft? (nur anwendbar innerhalb EU)</v>
          </cell>
          <cell r="FK3" t="str">
            <v>45. Unverbindliche Preisempfehlung</v>
          </cell>
          <cell r="FL3" t="str">
            <v>45.1. Rabattgruppe (Zahn, Material, ...)</v>
          </cell>
          <cell r="FM3" t="str">
            <v>46. Mehrwertsteuersatz für DE (voll oder verringert)</v>
          </cell>
          <cell r="FN3" t="str">
            <v>47. Besonderheiten und sonstige weitere Informationen zum Artikel aufführen bzw. anhängen</v>
          </cell>
          <cell r="FO3" t="str">
            <v>47.1. Dateiname des Sicherheitsdatenblattes
(SD)</v>
          </cell>
          <cell r="FP3" t="str">
            <v>47.2. Dateiname des Bildes 
(BD)</v>
          </cell>
          <cell r="FQ3" t="str">
            <v>47.3. Dateiname der Produktbeschreibung (PB) oder Stückliste (SL)</v>
          </cell>
          <cell r="FR3" t="str">
            <v>47.4. Dateiname der Arzneimittel-Fachinformation
(AF)</v>
          </cell>
          <cell r="FS3" t="str">
            <v>47.5. Dateiname der Konformitätserklärung für Medizinprodukte 
(KM)</v>
          </cell>
          <cell r="FT3" t="str">
            <v>48. Exklusivartikel</v>
          </cell>
          <cell r="FU3" t="str">
            <v>48.1. Exklusivartikel 
(berechtigte Händler)</v>
          </cell>
          <cell r="FV3" t="str">
            <v>49. Artikel unterliegt der Verordnung (EU) 2016/425 über Persönliche Schutzausrüstung?</v>
          </cell>
          <cell r="FW3" t="str">
            <v xml:space="preserve">49.1. Kategorie der Persönlichen Schutzausrüstung </v>
          </cell>
          <cell r="FX3" t="str">
            <v>50. Ist Artikel ein Set?</v>
          </cell>
          <cell r="FY3" t="str">
            <v>22.4. MDR oder MDD Zulassung?</v>
          </cell>
          <cell r="FZ3" t="str">
            <v>22.5. Basis UDI-DI</v>
          </cell>
          <cell r="GA3" t="str">
            <v>22.6. benannte Stelle</v>
          </cell>
          <cell r="GB3" t="str">
            <v>22.7. Gültigkeit der Konformitätserklärung bis…</v>
          </cell>
        </row>
        <row r="4">
          <cell r="A4">
            <v>12</v>
          </cell>
          <cell r="C4" t="str">
            <v>2.1. Name</v>
          </cell>
          <cell r="D4" t="str">
            <v>2.2. Telefonnummer</v>
          </cell>
          <cell r="E4" t="str">
            <v>2.3. Email-Adresse</v>
          </cell>
          <cell r="AQ4" t="str">
            <v xml:space="preserve">20.1.1.
Min. </v>
          </cell>
          <cell r="AR4" t="str">
            <v xml:space="preserve">20.1.2.
Max. </v>
          </cell>
          <cell r="AS4" t="str">
            <v xml:space="preserve">20.2.1.
Min. </v>
          </cell>
          <cell r="AT4" t="str">
            <v xml:space="preserve">20.2.2.
Max. </v>
          </cell>
          <cell r="CU4" t="str">
            <v>32.1.1. Länge</v>
          </cell>
          <cell r="CV4" t="str">
            <v>32.1.2. Breite</v>
          </cell>
          <cell r="CW4" t="str">
            <v>32.1.3. Höhe</v>
          </cell>
          <cell r="DB4" t="str">
            <v>32.6. Geräteserialnummer vorhanden?</v>
          </cell>
          <cell r="DD4" t="str">
            <v xml:space="preserve">32.7. Ist der Artikel strombetrieben? </v>
          </cell>
          <cell r="DG4" t="str">
            <v>32.8. Artikel enthält Batterien/Akkus?</v>
          </cell>
          <cell r="DR4" t="str">
            <v>34.1.1. Kunststoff</v>
          </cell>
          <cell r="DS4" t="str">
            <v>34.1.2. Papier, Pappe, Karton</v>
          </cell>
          <cell r="DT4" t="str">
            <v>34.1.3. Verbund- materialien</v>
          </cell>
          <cell r="DU4" t="str">
            <v>34.1.4. Glas</v>
          </cell>
          <cell r="DV4" t="str">
            <v>34.1.5. Aluminium</v>
          </cell>
          <cell r="DW4" t="str">
            <v>34.1.6. Weißblech</v>
          </cell>
          <cell r="DY4" t="str">
            <v>34.3.1. Kunststoff</v>
          </cell>
          <cell r="DZ4" t="str">
            <v>34.3.2. Papier, Pappe, Karton</v>
          </cell>
          <cell r="EA4" t="str">
            <v>34.3.3. Verbund- materialien</v>
          </cell>
          <cell r="EB4" t="str">
            <v>34.3.4. Glas</v>
          </cell>
          <cell r="EC4" t="str">
            <v>34.3.5. Aluminium</v>
          </cell>
          <cell r="ED4" t="str">
            <v>34.3.6. Weißblech</v>
          </cell>
          <cell r="EF4" t="str">
            <v>34.5.1. Kunststoff</v>
          </cell>
          <cell r="EG4" t="str">
            <v>34.5.2. Papier, Pappe, Karton</v>
          </cell>
          <cell r="EH4" t="str">
            <v>34.5.3. Verbund- materialien</v>
          </cell>
          <cell r="EI4" t="str">
            <v>34.5.4. Glas</v>
          </cell>
          <cell r="EJ4" t="str">
            <v>34.5.5. Aluminium</v>
          </cell>
          <cell r="EK4" t="str">
            <v>34.5.6. Weißblech</v>
          </cell>
          <cell r="EO4" t="str">
            <v xml:space="preserve">37.1. Länge </v>
          </cell>
          <cell r="EP4" t="str">
            <v xml:space="preserve">37.2. Breite </v>
          </cell>
          <cell r="EQ4" t="str">
            <v>37.3. Höhe</v>
          </cell>
          <cell r="ER4" t="str">
            <v xml:space="preserve">37.4. Bruttogewicht </v>
          </cell>
          <cell r="ES4" t="str">
            <v xml:space="preserve">37.5. Nettogewicht </v>
          </cell>
          <cell r="EW4" t="str">
            <v>38.3.1. Länge</v>
          </cell>
          <cell r="EX4" t="str">
            <v>38.3.2. Breite</v>
          </cell>
          <cell r="EY4" t="str">
            <v>38.3.3. Höhe</v>
          </cell>
          <cell r="EZ4" t="str">
            <v xml:space="preserve">38.3.4. Bruttogewicht </v>
          </cell>
          <cell r="FA4" t="str">
            <v xml:space="preserve">38.3.5. Nettogewicht </v>
          </cell>
        </row>
        <row r="5">
          <cell r="A5">
            <v>13</v>
          </cell>
          <cell r="B5" t="str">
            <v>!Y</v>
          </cell>
          <cell r="C5" t="str">
            <v>Textfeld</v>
          </cell>
          <cell r="D5" t="str">
            <v>Textfeld</v>
          </cell>
          <cell r="E5" t="str">
            <v>Textfeld</v>
          </cell>
          <cell r="F5" t="str">
            <v>Datum (tt.mm.jjjj)</v>
          </cell>
          <cell r="G5" t="str">
            <v xml:space="preserve">N=Neuanlage 
A=Änderung 
Z=nicht mehr lieferbar </v>
          </cell>
          <cell r="H5" t="str">
            <v>alphanumerisch</v>
          </cell>
          <cell r="I5" t="str">
            <v>Datum (tt.mm.jjjj)</v>
          </cell>
          <cell r="J5" t="str">
            <v>Datum (tt.mm.jjjj)</v>
          </cell>
          <cell r="K5" t="str">
            <v>Beutel, Dose, Eimer, Flasche, Kanister, Karton, Muster, Packung, Rolle, Set, Spender, Spritze, Stück, Tube, …</v>
          </cell>
          <cell r="L5" t="str">
            <v>(J/N)</v>
          </cell>
          <cell r="M5" t="str">
            <v>Datum (tt.mm.jjjj)</v>
          </cell>
          <cell r="N5" t="str">
            <v>alphanumerisch</v>
          </cell>
          <cell r="O5" t="str">
            <v>Textfeld</v>
          </cell>
          <cell r="P5" t="str">
            <v>alphanumerisch
Wenn Hersteller = Lieferant, dann exakte Hersteller-Artikelnummer angeben.</v>
          </cell>
          <cell r="Q5" t="str">
    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    </cell>
          <cell r="R5" t="str">
            <v>Textfeld
Bitte ausfüllen, wenn Lieferant und Hersteller nicht identisch sind.</v>
          </cell>
          <cell r="S5" t="str">
            <v>Textfeld
Bitte ausfüllen, wenn Lieferant und Hersteller nicht identisch sind.</v>
          </cell>
          <cell r="T5" t="str">
            <v>Länder bitte durch Ländercodes nach ISO 3166 angeben und durch / voneinander trennen.</v>
          </cell>
          <cell r="U5" t="str">
            <v>(N/i/o</v>
          </cell>
          <cell r="V5" t="str">
            <v>(J/N)</v>
          </cell>
          <cell r="W5" t="str">
            <v>numerisch</v>
          </cell>
          <cell r="X5" t="str">
            <v>numerisch</v>
          </cell>
          <cell r="Y5" t="str">
            <v>numerisch</v>
          </cell>
          <cell r="Z5" t="str">
            <v>numerisch</v>
          </cell>
          <cell r="AA5" t="str">
            <v>alphanumerisch</v>
          </cell>
          <cell r="AB5" t="str">
            <v>alphanumerisch</v>
          </cell>
          <cell r="AC5" t="str">
            <v>alphanumerisch</v>
          </cell>
          <cell r="AD5" t="str">
            <v>alphanumerisch</v>
          </cell>
          <cell r="AE5" t="str">
            <v>numerisch</v>
          </cell>
          <cell r="AF5" t="str">
            <v>numerisch</v>
          </cell>
          <cell r="AG5" t="str">
            <v>(numerisch / N)</v>
          </cell>
          <cell r="AH5" t="str">
            <v>alphanumerisch</v>
          </cell>
          <cell r="AI5" t="str">
            <v>Dental = DENT
Humanmedizin = MED
Veterinär = VET
durch / voneinander trennen</v>
          </cell>
          <cell r="AJ5" t="str">
            <v>P = Praxis
L = Labor 
B = beides</v>
          </cell>
          <cell r="AK5" t="str">
            <v>(J/N)</v>
          </cell>
          <cell r="AL5" t="str">
            <v>(J/N)</v>
          </cell>
          <cell r="AM5" t="str">
            <v>Sprachen bitte durch Ländercode nach ISO 3166 angeben und durch / voneinander trennen.</v>
          </cell>
          <cell r="AN5" t="str">
            <v>(J/N)</v>
          </cell>
          <cell r="AO5" t="str">
            <v>Sprachen bitte durch Ländercode nach ISO 3166 angeben und durch / voneinander trennen.</v>
          </cell>
          <cell r="AP5" t="str">
            <v>(J/N)</v>
          </cell>
          <cell r="AQ5" t="str">
            <v>in °C</v>
          </cell>
          <cell r="AU5" t="str">
            <v>in Stunden (h)</v>
          </cell>
          <cell r="AV5" t="str">
            <v>(J/N)</v>
          </cell>
          <cell r="AW5" t="str">
            <v>(J/N)</v>
          </cell>
          <cell r="AX5" t="str">
            <v>(J/N)</v>
          </cell>
          <cell r="AY5" t="str">
            <v>(J/N)</v>
          </cell>
          <cell r="AZ5" t="str">
            <v>(J/N)</v>
          </cell>
          <cell r="BA5" t="str">
            <v>(J/N)</v>
          </cell>
          <cell r="BB5" t="str">
            <v>(J/N)</v>
          </cell>
          <cell r="BC5" t="str">
            <v>(J/N)</v>
          </cell>
          <cell r="BD5" t="str">
            <v>(J/N)</v>
          </cell>
          <cell r="BE5" t="str">
            <v>(J/N)</v>
          </cell>
          <cell r="BF5" t="str">
            <v>(J/N)</v>
          </cell>
          <cell r="BG5" t="str">
            <v>Länder bitte durch Ländercodes nach ISO 3166 angeben und durch / voneinander trennen.</v>
          </cell>
          <cell r="BH5" t="str">
            <v>alphanumerisch</v>
          </cell>
          <cell r="BI5" t="str">
            <v>(J/N)</v>
          </cell>
          <cell r="BJ5" t="str">
            <v>(I, Is, Im, IIa, IIb, III, IVD)</v>
          </cell>
          <cell r="BK5" t="str">
            <v>(J/N)</v>
          </cell>
          <cell r="BL5" t="str">
            <v>(J/N)</v>
          </cell>
          <cell r="BM5" t="str">
            <v>(J/N)</v>
          </cell>
          <cell r="BN5" t="str">
            <v>(J/N)</v>
          </cell>
          <cell r="BO5" t="str">
            <v>(J/N)</v>
          </cell>
          <cell r="BP5" t="str">
            <v>numerisch</v>
          </cell>
          <cell r="BQ5" t="str">
            <v>(J/N)</v>
          </cell>
          <cell r="BR5" t="str">
            <v>(J/N)</v>
          </cell>
          <cell r="BS5" t="str">
            <v>in Gramm (g) oder Prozent (%) Wenn vorhanden, bitte beides angeben (Bsp. 3g / 15%)</v>
          </cell>
          <cell r="BT5" t="str">
            <v>(J/N)
Wenn ein SDB vorhanden ist, dann muss dieses zwingend als Anhang mitgeschickt werden!</v>
          </cell>
          <cell r="BU5" t="str">
            <v>Datum (tt.mm.jjjj)</v>
          </cell>
          <cell r="BV5" t="str">
            <v>(J/N)</v>
          </cell>
          <cell r="BW5" t="str">
            <v>(J/N)</v>
          </cell>
          <cell r="BX5" t="str">
            <v>(J/N)</v>
          </cell>
          <cell r="BY5" t="str">
            <v>numerisch</v>
          </cell>
          <cell r="BZ5" t="str">
            <v>Textfeld</v>
          </cell>
          <cell r="CA5" t="str">
            <v>numerisch</v>
          </cell>
          <cell r="CB5" t="str">
            <v>numerisch</v>
          </cell>
          <cell r="CC5" t="str">
            <v>numerisch</v>
          </cell>
          <cell r="CD5" t="str">
            <v>numerisch</v>
          </cell>
          <cell r="CE5" t="str">
            <v>numerisch</v>
          </cell>
          <cell r="CF5" t="str">
            <v>numerisch</v>
          </cell>
          <cell r="CG5" t="str">
            <v>numerisch</v>
          </cell>
          <cell r="CH5" t="str">
            <v>Bitte vollständigen Code inkl. Klammern angeben.</v>
          </cell>
          <cell r="CI5" t="str">
            <v>numerisch</v>
          </cell>
          <cell r="CJ5" t="str">
            <v>numerisch
in Milliliter (ml) oder Gramm (g)</v>
          </cell>
          <cell r="CK5" t="str">
            <v xml:space="preserve">Fass, Kanister, Kiste, Sack, 
Kombinationsverpackung, 
Feinstblechverpackung
</v>
          </cell>
          <cell r="CL5" t="str">
            <v>(J/N)</v>
          </cell>
          <cell r="CM5" t="str">
            <v>numerisch</v>
          </cell>
          <cell r="CN5" t="str">
            <v>(J/N)</v>
          </cell>
          <cell r="CO5" t="str">
            <v>(J/N)</v>
          </cell>
          <cell r="CP5" t="str">
            <v>(J/N)</v>
          </cell>
          <cell r="CQ5" t="str">
            <v>(J/N)</v>
          </cell>
          <cell r="CR5" t="str">
            <v>(J/N)</v>
          </cell>
          <cell r="CS5" t="str">
            <v>(J/N)</v>
          </cell>
          <cell r="CT5" t="str">
            <v>(J/N)</v>
          </cell>
          <cell r="CU5" t="str">
            <v>in Millimeter (mm)</v>
          </cell>
          <cell r="CX5" t="str">
            <v>in Liter (L)</v>
          </cell>
          <cell r="CY5" t="str">
            <v>in °C</v>
          </cell>
          <cell r="CZ5" t="str">
            <v>in Watt (W)</v>
          </cell>
          <cell r="DA5" t="str">
            <v>(J/N)</v>
          </cell>
          <cell r="DB5" t="str">
            <v>(J/N)</v>
          </cell>
          <cell r="DC5" t="str">
            <v>numerisch</v>
          </cell>
          <cell r="DD5" t="str">
            <v>(J/N)</v>
          </cell>
          <cell r="DE5" t="str">
            <v>(J/N)</v>
          </cell>
          <cell r="DF5" t="str">
            <v>(J/N)</v>
          </cell>
          <cell r="DG5" t="str">
            <v>(J/N)</v>
          </cell>
          <cell r="DH5" t="str">
            <v>(J/N)</v>
          </cell>
          <cell r="DI5" t="str">
            <v>Textfeld
(LiIon, LiMetall, Blei, NiCa, etc.)</v>
          </cell>
          <cell r="DJ5" t="str">
            <v>numerisch</v>
          </cell>
          <cell r="DK5">
            <v>4</v>
          </cell>
          <cell r="DL5" t="str">
            <v>(J/N)</v>
          </cell>
          <cell r="DM5" t="str">
            <v>in Monaten</v>
          </cell>
          <cell r="DN5" t="str">
            <v>in Monaten</v>
          </cell>
          <cell r="DO5" t="str">
            <v>in Monaten</v>
          </cell>
          <cell r="DP5" t="str">
            <v>in Monaten</v>
          </cell>
          <cell r="DQ5" t="str">
            <v>(J/N)</v>
          </cell>
          <cell r="DR5" t="str">
            <v>in Gramm (g)</v>
          </cell>
          <cell r="DX5" t="str">
            <v>(J/N)</v>
          </cell>
          <cell r="DY5" t="str">
            <v>in Gramm (g)</v>
          </cell>
          <cell r="EE5" t="str">
            <v>(J/N)</v>
          </cell>
          <cell r="EF5" t="str">
            <v>in Gramm (g)</v>
          </cell>
          <cell r="EL5" t="str">
            <v>(J/N)</v>
          </cell>
          <cell r="EM5" t="str">
            <v>in Stück</v>
          </cell>
          <cell r="EN5" t="str">
            <v>numerisch</v>
          </cell>
          <cell r="EO5" t="str">
            <v>numerisch in Millimeter (mm)</v>
          </cell>
          <cell r="ER5" t="str">
            <v>numerisch in Gramm (g)</v>
          </cell>
          <cell r="ET5" t="str">
            <v>(J/N)</v>
          </cell>
          <cell r="EU5" t="str">
            <v>(J/N)</v>
          </cell>
          <cell r="EV5" t="str">
            <v>numerisch</v>
          </cell>
          <cell r="EW5" t="str">
            <v>in Millimeter (mm)</v>
          </cell>
          <cell r="EZ5" t="str">
            <v>in Gramm (g)</v>
          </cell>
          <cell r="FB5" t="str">
            <v>(J/N)</v>
          </cell>
          <cell r="FC5" t="str">
            <v>Textfeld</v>
          </cell>
          <cell r="FD5" t="str">
            <v>numerisch</v>
          </cell>
          <cell r="FE5" t="str">
            <v>in Millimeter (mm)</v>
          </cell>
          <cell r="FF5" t="str">
            <v>numerisch, 8-11-stellig</v>
          </cell>
          <cell r="FG5" t="str">
            <v>(J/N)</v>
          </cell>
          <cell r="FH5" t="str">
            <v>zweistellig, gemäß ISO 3166, Alpha 2</v>
          </cell>
          <cell r="FI5" t="str">
            <v>Textfeld</v>
          </cell>
          <cell r="FJ5" t="str">
            <v>(J/N)</v>
          </cell>
          <cell r="FK5" t="str">
            <v>in EUR</v>
          </cell>
          <cell r="FL5" t="str">
            <v>Textfeld</v>
          </cell>
          <cell r="FM5" t="str">
            <v>in Prozent (%)</v>
          </cell>
          <cell r="FN5" t="str">
            <v>Text und/oder Anhang / N
(z.B. latexhaltig)</v>
          </cell>
          <cell r="FO5" t="str">
            <v>Originalname der SD Datei des Herstellers</v>
          </cell>
          <cell r="FP5" t="str">
            <v>Aufbau der Dateinamen: "Abkürzung Anhangart_Ländercode nach ISO 3166_Artikelnummer_Ausgabedatum in Format jjjjmmdd"
Abkürzungen der Anhangarten: Bild = BD, Produktbeschreibung = PB, Stückliste = SL; Arzneimittel-Fachinformationen = AF, Konformitätserklärung = KM</v>
          </cell>
          <cell r="FT5" t="str">
            <v>(J/N)</v>
          </cell>
          <cell r="FU5" t="str">
            <v>Händler bitte durch / voneinander trennen. (Bsp. DU/HSC/PD/NWD/M&amp;W)</v>
          </cell>
          <cell r="FV5" t="str">
            <v>(J/N)</v>
          </cell>
          <cell r="FW5" t="str">
            <v>(I, II, III)</v>
          </cell>
          <cell r="FX5" t="str">
            <v>(J/N)</v>
          </cell>
          <cell r="FY5" t="str">
            <v>MDR oder MDD</v>
          </cell>
          <cell r="FZ5" t="str">
            <v>Alphanumerisch</v>
          </cell>
          <cell r="GA5" t="str">
            <v>Alphanumerisch</v>
          </cell>
          <cell r="GB5" t="str">
            <v>tt.mm.jjjj</v>
          </cell>
        </row>
        <row r="6">
          <cell r="A6">
            <v>14</v>
          </cell>
          <cell r="B6" t="str">
            <v>Nur für csv-Konvertierung erforderlich</v>
          </cell>
          <cell r="C6" t="str">
            <v>Pflichtfeld</v>
          </cell>
          <cell r="D6" t="str">
            <v>Pflichtfeld</v>
          </cell>
          <cell r="E6" t="str">
            <v>Pflichtfeld</v>
          </cell>
          <cell r="F6" t="str">
            <v>Pflichtfeld</v>
          </cell>
          <cell r="G6" t="str">
            <v>Pflichtfeld 
Wenn "N" oder "A", bitte auch die folgenden Felder ausfüllen (graue Spaltenüberschriften).</v>
          </cell>
          <cell r="H6" t="str">
            <v>abhängiges Feld</v>
          </cell>
          <cell r="I6" t="str">
            <v>abhängiges Feld</v>
          </cell>
          <cell r="J6" t="str">
            <v>abhängiges Feld</v>
          </cell>
          <cell r="K6" t="str">
            <v>abhängiges Feld</v>
          </cell>
          <cell r="L6" t="str">
            <v>Pflichtfeld 
Wenn "J", bitte auch die folgenden Felder ausfüllen (graue Spaltenüberschriften).</v>
          </cell>
          <cell r="M6" t="str">
            <v>abhängiges Feld</v>
          </cell>
          <cell r="N6" t="str">
            <v>abhängiges Feld</v>
          </cell>
          <cell r="O6" t="str">
            <v>Pflichtfeld</v>
          </cell>
          <cell r="P6" t="str">
            <v>Pflichtfeld</v>
          </cell>
          <cell r="Q6" t="str">
            <v>Pflichtfeld</v>
          </cell>
          <cell r="R6" t="str">
            <v>Pflichtfeld</v>
          </cell>
          <cell r="S6" t="str">
            <v>Pflichtfeld</v>
          </cell>
          <cell r="T6" t="str">
            <v>Pflichtfeld</v>
          </cell>
          <cell r="U6" t="str">
            <v>Pflichtfeld</v>
          </cell>
          <cell r="V6" t="str">
            <v>Pflichtfeld
Bei "J", bitte rechts alle für diesen Artikel vorhandenen Barcodes angeben.</v>
          </cell>
          <cell r="W6" t="str">
            <v>abhängiges Feld</v>
          </cell>
          <cell r="X6" t="str">
            <v>abhängiges Feld</v>
          </cell>
          <cell r="Y6" t="str">
            <v>abhängiges Feld</v>
          </cell>
          <cell r="Z6" t="str">
            <v>abhängiges Feld</v>
          </cell>
          <cell r="AA6" t="str">
            <v>abhängiges Feld</v>
          </cell>
          <cell r="AB6" t="str">
            <v>abhängiges Feld</v>
          </cell>
          <cell r="AC6" t="str">
            <v>abhängiges Feld</v>
          </cell>
          <cell r="AD6" t="str">
            <v>abhängiges Feld</v>
          </cell>
          <cell r="AE6" t="str">
            <v>abhängiges Feld</v>
          </cell>
          <cell r="AF6" t="str">
            <v>abhängiges Feld</v>
          </cell>
          <cell r="AG6" t="str">
            <v>Pflichtfeld 
Wenn "J", bitte Code eingeben und das folgende (graue) Feld ausfüllen</v>
          </cell>
          <cell r="AH6" t="str">
            <v>abhängiges Feld</v>
          </cell>
          <cell r="AI6" t="str">
            <v xml:space="preserve">Pflichtfeld 
</v>
          </cell>
          <cell r="AJ6" t="str">
            <v>Pflichtfeld</v>
          </cell>
          <cell r="AK6" t="str">
            <v>Pflichtfeld</v>
          </cell>
          <cell r="AL6" t="str">
            <v>Pflichtfeld 
Wenn "N", bitte auch das folgende Feld ausfüllen (graue Spaltenüberschrift).</v>
          </cell>
          <cell r="AM6" t="str">
            <v>abhängiges Feld</v>
          </cell>
          <cell r="AN6" t="str">
            <v>Pflichtfeld 
Wenn "J", bitte auch das folgende Feld ausfüllen (graue Spaltenüberschrift).</v>
          </cell>
          <cell r="AO6" t="str">
            <v>abhängiges Feld</v>
          </cell>
          <cell r="AP6" t="str">
            <v>Pflichtfeld 
Wenn "J", bitte auch die folgenden Felder ausfüllen (graue Spaltenüberschriften).</v>
          </cell>
          <cell r="AQ6" t="str">
            <v>abhängiges Feld</v>
          </cell>
          <cell r="AR6" t="str">
            <v>abhängiges Feld</v>
          </cell>
          <cell r="AS6" t="str">
            <v>abhängiges Feld</v>
          </cell>
          <cell r="AT6" t="str">
            <v>abhängiges Feld</v>
          </cell>
          <cell r="AU6" t="str">
            <v>abhängiges Feld</v>
          </cell>
          <cell r="AV6" t="str">
            <v>abhängiges Feld</v>
          </cell>
          <cell r="AW6" t="str">
            <v>Pflichtfeld 
Wenn "J", bitte auch die folgenden Felder ausfüllen (graue Spaltenüberschriften).</v>
          </cell>
          <cell r="AX6" t="str">
            <v>abhängiges Feld</v>
          </cell>
          <cell r="AY6" t="str">
            <v>abhängiges Feld</v>
          </cell>
          <cell r="AZ6" t="str">
            <v>abhängiges Feld</v>
          </cell>
          <cell r="BA6" t="str">
            <v>abhängiges Feld</v>
          </cell>
          <cell r="BB6" t="str">
            <v>abhängiges Feld</v>
          </cell>
          <cell r="BC6" t="str">
            <v>abhängiges Feld</v>
          </cell>
          <cell r="BD6" t="str">
            <v>abhängiges Feld</v>
          </cell>
          <cell r="BE6" t="str">
            <v>abhängiges Feld</v>
          </cell>
          <cell r="BF6" t="str">
            <v>abhängiges Feld</v>
          </cell>
          <cell r="BG6" t="str">
            <v>abhängiges Feld</v>
          </cell>
          <cell r="BH6" t="str">
            <v>abhängiges Feld</v>
          </cell>
          <cell r="BI6" t="str">
            <v>Pflichtfeld 
Wenn "J", bitte auch die folgenden Felder ausfüllen (graue Spaltenüberschriften) sowie Spalte 181 ff.</v>
          </cell>
          <cell r="BJ6" t="str">
            <v>abhängiges Feld</v>
          </cell>
          <cell r="BK6" t="str">
            <v>abhängiges Feld</v>
          </cell>
          <cell r="BL6" t="str">
            <v>abhängiges Feld</v>
          </cell>
          <cell r="BM6" t="str">
            <v>Pflichtfeld 
Wenn "J", bitte auch das folgende Feld ausfüllen (graue Spaltenüberschrift).</v>
          </cell>
          <cell r="BN6" t="str">
            <v>abhängiges Feld</v>
          </cell>
          <cell r="BO6" t="str">
            <v>Pflichtfeld 
Wenn "J", bitte auch das folgende Feld ausfüllen (graue Spaltenüberschrift).</v>
          </cell>
          <cell r="BP6" t="str">
            <v>abhängiges Feld</v>
          </cell>
          <cell r="BQ6" t="str">
            <v>Pflichtfeld</v>
          </cell>
          <cell r="BR6" t="str">
            <v>Pflichtfeld</v>
          </cell>
          <cell r="BS6" t="str">
            <v>Pflichtfeld</v>
          </cell>
          <cell r="BT6" t="str">
            <v>Pflichtfeld 
Wenn "J", bitte auch die folgenden Felder ausfüllen (graue Spaltenüberschriften).</v>
          </cell>
          <cell r="BU6" t="str">
            <v>abhängiges Feld</v>
          </cell>
          <cell r="BV6" t="str">
            <v>abhängiges Feld</v>
          </cell>
          <cell r="BW6" t="str">
            <v>Pflichtfeld 
Wenn "J", bitte auch die folgenden Felder ausfüllen (graue Spaltenüberschriften).</v>
          </cell>
          <cell r="BX6" t="str">
            <v>abhängiges Feld</v>
          </cell>
          <cell r="BY6" t="str">
            <v>abhängiges Feld</v>
          </cell>
          <cell r="BZ6" t="str">
            <v>abhängiges Feld</v>
          </cell>
          <cell r="CA6" t="str">
            <v>abhängiges Feld</v>
          </cell>
          <cell r="CB6" t="str">
            <v>abhängiges Feld</v>
          </cell>
          <cell r="CC6" t="str">
            <v>abhängiges Feld</v>
          </cell>
          <cell r="CD6" t="str">
            <v>abhängiges Feld</v>
          </cell>
          <cell r="CE6" t="str">
            <v>abhängiges Feld</v>
          </cell>
          <cell r="CF6" t="str">
            <v>abhängiges Feld</v>
          </cell>
          <cell r="CG6" t="str">
            <v>abhängiges Feld</v>
          </cell>
          <cell r="CH6" t="str">
            <v>abhängiges Feld</v>
          </cell>
          <cell r="CI6" t="str">
            <v>abhängiges Feld</v>
          </cell>
          <cell r="CJ6" t="str">
            <v>abhängiges Feld</v>
          </cell>
          <cell r="CK6" t="str">
            <v>abhängiges Feld</v>
          </cell>
          <cell r="CL6" t="str">
            <v>abhängiges Feld</v>
          </cell>
          <cell r="CM6" t="str">
            <v>abhängiges Feld</v>
          </cell>
          <cell r="CN6" t="str">
            <v>abhängiges Feld</v>
          </cell>
          <cell r="CO6" t="str">
            <v>Pflichtfeld</v>
          </cell>
          <cell r="CP6" t="str">
            <v>Pflichtfeld 
Wenn "J", bitte auch die folgenden Felder ausfüllen (graue Spaltenüberschriften).</v>
          </cell>
          <cell r="CQ6" t="str">
            <v>abhängiges Feld</v>
          </cell>
          <cell r="CR6" t="str">
            <v>abhängiges Feld</v>
          </cell>
          <cell r="CS6" t="str">
            <v>abhängiges Feld</v>
          </cell>
          <cell r="CT6" t="str">
            <v>Pflichtfeld 
Wenn "J", bitte auch die folgenden Felder ausfüllen (graue Spaltenüberschriften).</v>
          </cell>
          <cell r="CU6" t="str">
            <v>abhängiges Feld</v>
          </cell>
          <cell r="CV6" t="str">
            <v>abhängiges Feld</v>
          </cell>
          <cell r="CW6" t="str">
            <v>abhängiges Feld</v>
          </cell>
          <cell r="CX6" t="str">
            <v>abhängiges Feld</v>
          </cell>
          <cell r="CY6" t="str">
            <v>abhängiges Feld</v>
          </cell>
          <cell r="CZ6" t="str">
            <v>abhängiges Feld</v>
          </cell>
          <cell r="DA6" t="str">
            <v>abhängiges Feld</v>
          </cell>
          <cell r="DB6" t="str">
            <v>Pflichtfeld 
Wenn "J", bitte auch das folgende Feld ausfüllen (graue Spaltenüberschrift).</v>
          </cell>
          <cell r="DC6" t="str">
            <v>abhängiges Feld</v>
          </cell>
          <cell r="DD6" t="str">
            <v>Pflichtfeld 
Wenn "J", bitte auch die folgenden Felder ausfüllen (graue Spaltenüberschriften).</v>
          </cell>
          <cell r="DE6" t="str">
            <v>abhängiges Feld</v>
          </cell>
          <cell r="DF6" t="str">
            <v>abhängiges Feld</v>
          </cell>
          <cell r="DG6" t="str">
            <v>Pflichtfeld 
Wenn "J", bitte auch die folgenden Felder ausfüllen (graue Spaltenüberschriften)</v>
          </cell>
          <cell r="DH6" t="str">
            <v>abhängiges Feld</v>
          </cell>
          <cell r="DI6" t="str">
            <v>abhängiges Feld</v>
          </cell>
          <cell r="DJ6" t="str">
            <v>abhängiges Feld</v>
          </cell>
          <cell r="DK6" t="str">
            <v>abhängiges Feld</v>
          </cell>
          <cell r="DL6" t="str">
            <v>Pflichtfeld 
Wenn "J", bitte auch die folgenden Felder ausfüllen (graue Spaltenüberschriften).</v>
          </cell>
          <cell r="DM6" t="str">
            <v>abhängiges Feld</v>
          </cell>
          <cell r="DN6" t="str">
            <v>abhängiges Feld</v>
          </cell>
          <cell r="DO6" t="str">
            <v>abhängiges Feld</v>
          </cell>
          <cell r="DP6" t="str">
            <v>abhängiges Feld</v>
          </cell>
          <cell r="DQ6" t="str">
            <v>Pflichtfeld - Bitte die Felder 34.1 -34.6. komplett ausfüllen, wenn Antwort "N" oder wenn der Artikel auch außerhalb DE zugelassen ist.</v>
          </cell>
          <cell r="DR6" t="str">
            <v>abhängiges Feld</v>
          </cell>
          <cell r="DS6" t="str">
            <v>abhängiges Feld</v>
          </cell>
          <cell r="DT6" t="str">
            <v>abhängiges Feld</v>
          </cell>
          <cell r="DU6" t="str">
            <v>abhängiges Feld</v>
          </cell>
          <cell r="DV6" t="str">
            <v>abhängiges Feld</v>
          </cell>
          <cell r="DW6" t="str">
            <v>abhängiges Feld</v>
          </cell>
          <cell r="DX6" t="str">
            <v>abhängiges Feld</v>
          </cell>
          <cell r="DY6" t="str">
            <v>abhängiges Feld</v>
          </cell>
          <cell r="DZ6" t="str">
            <v>abhängiges Feld</v>
          </cell>
          <cell r="EA6" t="str">
            <v>abhängiges Feld</v>
          </cell>
          <cell r="EB6" t="str">
            <v>abhängiges Feld</v>
          </cell>
          <cell r="EC6" t="str">
            <v>abhängiges Feld</v>
          </cell>
          <cell r="ED6" t="str">
            <v>abhängiges Feld</v>
          </cell>
          <cell r="EE6" t="str">
            <v>abhängiges Feld</v>
          </cell>
          <cell r="EF6" t="str">
            <v>abhängiges Feld</v>
          </cell>
          <cell r="EG6" t="str">
            <v>abhängiges Feld</v>
          </cell>
          <cell r="EH6" t="str">
            <v>abhängiges Feld</v>
          </cell>
          <cell r="EI6" t="str">
            <v>abhängiges Feld</v>
          </cell>
          <cell r="EJ6" t="str">
            <v>abhängiges Feld</v>
          </cell>
          <cell r="EK6" t="str">
            <v>abhängiges Feld</v>
          </cell>
          <cell r="EL6" t="str">
            <v>abhängiges Feld</v>
          </cell>
          <cell r="EM6" t="str">
            <v>Pflichtfeld</v>
          </cell>
          <cell r="EN6" t="str">
            <v>Pflichtfeld</v>
          </cell>
          <cell r="EO6" t="str">
            <v>Pflichtfeld</v>
          </cell>
          <cell r="EP6" t="str">
            <v>Pflichtfeld</v>
          </cell>
          <cell r="EQ6" t="str">
            <v>Pflichtfeld</v>
          </cell>
          <cell r="ER6" t="str">
            <v>Pflichtfeld</v>
          </cell>
          <cell r="ES6" t="str">
            <v>Pflichtfeld</v>
          </cell>
          <cell r="ET6" t="str">
            <v>Pflichtfeld 
Wenn "J", bitte die folgenden Felder (graue Spaltenüberschriften) ausfüllen.</v>
          </cell>
          <cell r="EU6" t="str">
            <v>abhängiges Feld</v>
          </cell>
          <cell r="EV6" t="str">
            <v>abhängiges Feld</v>
          </cell>
          <cell r="EW6" t="str">
            <v>abhängiges Feld</v>
          </cell>
          <cell r="EX6" t="str">
            <v>abhängiges Feld</v>
          </cell>
          <cell r="EY6" t="str">
            <v>abhängiges Feld</v>
          </cell>
          <cell r="EZ6" t="str">
            <v>abhängiges Feld</v>
          </cell>
          <cell r="FA6" t="str">
            <v>abhängiges Feld</v>
          </cell>
          <cell r="FB6" t="str">
            <v>Pflichtfeld 
Wenn "J", bitte auch die folgenden Felder ausfüllen (graue Spaltenüberschriften).</v>
          </cell>
          <cell r="FC6" t="str">
            <v>abhängiges Feld</v>
          </cell>
          <cell r="FD6" t="str">
            <v>abhängiges Feld</v>
          </cell>
          <cell r="FE6" t="str">
            <v>abhängiges Feld</v>
          </cell>
          <cell r="FF6" t="str">
            <v>Pflichtfeld</v>
          </cell>
          <cell r="FG6" t="str">
            <v>Pflichtfeld</v>
          </cell>
          <cell r="FH6" t="str">
            <v>Pflichtfeld</v>
          </cell>
          <cell r="FI6" t="str">
            <v>Pflichtfeld</v>
          </cell>
          <cell r="FJ6" t="str">
            <v>Pflichtfeld</v>
          </cell>
          <cell r="FK6" t="str">
            <v>Kannfeld</v>
          </cell>
          <cell r="FL6" t="str">
            <v>abhängiges Feld</v>
          </cell>
          <cell r="FM6" t="str">
            <v>Pflichtfeld</v>
          </cell>
          <cell r="FN6" t="str">
            <v>Pflichtfeld
Bitte Besonderheiten aufführen bzw. bei Anhängen die Dateinamen in den folgenden Feldern eintragen (graue Spaltenüberschriften).</v>
          </cell>
          <cell r="FO6" t="str">
            <v>abhängiges Feld, wenn ein SET vorliegt, bitte alle relvanten SDB durch "/" getrennt aufführen</v>
          </cell>
          <cell r="FP6" t="str">
            <v>abhängiges Feld, wenn ein SET vorliegt, bitte alle relvanten Bilder durch "/" getrennt aufführen</v>
          </cell>
          <cell r="FQ6" t="str">
            <v>abhängiges Feld, wenn ein SET vorliegt, bitte Name der Stückliste oder Produktbeschreibung angeben</v>
          </cell>
          <cell r="FR6" t="str">
            <v>abhängiges Feld</v>
          </cell>
          <cell r="FS6" t="str">
            <v>abhängiges Feld</v>
          </cell>
          <cell r="FT6" t="str">
            <v>Pflichtfeld 
Wenn "J", bitte auch die folgenden Felder ausfüllen (graue Spaltenüberschriften).</v>
          </cell>
          <cell r="FU6" t="str">
            <v>abhängiges Feld</v>
          </cell>
          <cell r="FV6" t="str">
            <v>Pflichtfeld 
Wenn "J", bitte auch die folgenden Felder ausfüllen (graue Spaltenüberschriften).</v>
          </cell>
          <cell r="FW6" t="str">
            <v>abhängiges Feld</v>
          </cell>
          <cell r="FX6" t="str">
            <v>Pflichtfeld 
Wenn "J", bitte in 47.1. alle relevanten SDB aufführen und in 47.3. Name der Stückliste/ Produktbeschreibung angeben</v>
          </cell>
          <cell r="FY6" t="str">
            <v>abhängiges Feld</v>
          </cell>
          <cell r="FZ6" t="str">
            <v>abhängiges Feld</v>
          </cell>
          <cell r="GA6" t="str">
            <v>abhängiges Feld</v>
          </cell>
          <cell r="GB6" t="str">
            <v>abhängiges Feld</v>
          </cell>
        </row>
        <row r="7">
          <cell r="A7" t="str">
            <v>Zeilen-selektor</v>
          </cell>
          <cell r="D7" t="str">
            <v>Article Passport BVD for Supplier</v>
          </cell>
          <cell r="I7" t="str">
            <v/>
          </cell>
          <cell r="J7" t="str">
            <v/>
          </cell>
        </row>
        <row r="8">
          <cell r="A8">
            <v>21</v>
          </cell>
          <cell r="B8" t="str">
            <v>1. Control character, new item data set begins</v>
          </cell>
          <cell r="C8" t="str">
            <v>2. Contact person</v>
          </cell>
          <cell r="F8" t="str">
            <v>3. Date of validity of item data set</v>
          </cell>
          <cell r="G8" t="str">
            <v>4. Status</v>
          </cell>
          <cell r="H8" t="str">
            <v>4.1. Exact supplier item number of predecessor product</v>
          </cell>
          <cell r="I8" t="str">
            <v>4.2. Item publication permitted from</v>
          </cell>
          <cell r="J8" t="str">
            <v>4.3. Item deliverable from</v>
          </cell>
          <cell r="K8" t="str">
            <v>4.4. Type of packaging of the item?</v>
          </cell>
          <cell r="L8" t="str">
            <v>5. Discontinued item</v>
          </cell>
          <cell r="M8" t="str">
            <v>5.1. Discontinued item deliverable until</v>
          </cell>
          <cell r="N8" t="str">
            <v>5.2. Exact supplier item number of alternative item</v>
          </cell>
          <cell r="O8" t="str">
            <v>6. Name of supplier</v>
          </cell>
          <cell r="P8" t="str">
            <v>7. Exact supplier item number</v>
          </cell>
          <cell r="Q8" t="str">
            <v>8. Exact item name</v>
          </cell>
          <cell r="R8" t="str">
            <v>9. Name of Manufacturer</v>
          </cell>
          <cell r="S8" t="str">
            <v>10. Exact manufacturer item number</v>
          </cell>
          <cell r="T8" t="str">
            <v>11. Product is approved for distribution, in accordance with applicable legal and/or regulatory requirements, in the following countries:</v>
          </cell>
          <cell r="U8" t="str">
            <v>12. Is product CE certified [CE marking inside (i), outside (o)]?</v>
          </cell>
          <cell r="V8" t="str">
            <v>13. Does product have barcode?</v>
          </cell>
          <cell r="W8" t="str">
            <v>13.1.1. GTIN / EAN - Smallest sales unit
(Global Trade Item Number / European Article Number)</v>
          </cell>
          <cell r="X8" t="str">
            <v>13.1.2. GTIN / EAN - Pack
(Global Trade Item Number / European Article Number)</v>
          </cell>
          <cell r="Y8" t="str">
            <v>13.1.3. GTIN / EAN - Box
(Global Trade Item Number / European Article Number)</v>
          </cell>
          <cell r="Z8" t="str">
            <v>13.1.4. GTIN / EAN - Pallet
(Global Trade Item Number / European Article Number)</v>
          </cell>
          <cell r="AA8" t="str">
            <v>13.2.1. HIBC - Smallest sales unit
(Health Industry Bar Code)</v>
          </cell>
          <cell r="AB8" t="str">
            <v>13.2.2. HIBC - Pack
(Health Industry Bar Code)</v>
          </cell>
          <cell r="AC8" t="str">
            <v>13.2.3. HIBC - Box
(Health Industry Bar Code)</v>
          </cell>
          <cell r="AD8" t="str">
            <v>13.2.4. HIBC - Pallet
(Health Industry Bar Code)</v>
          </cell>
          <cell r="AE8" t="str">
            <v>13.3. PPN (Pharmacy Product Number)</v>
          </cell>
          <cell r="AF8" t="str">
            <v>13.4. PZN (German Central Pharmaceutical Number)</v>
          </cell>
          <cell r="AG8" t="str">
            <v>14. eCl@ss code</v>
          </cell>
          <cell r="AH8" t="str">
            <v>14.1. eCl@ss version</v>
          </cell>
          <cell r="AI8" t="str">
            <v>15. Please indicate in which medical category the item is used.</v>
          </cell>
          <cell r="AJ8" t="str">
            <v>16. Product usage site</v>
          </cell>
          <cell r="AK8" t="str">
            <v>17. Is item a sterile product?</v>
          </cell>
          <cell r="AL8" t="str">
            <v>18. Label/Original product packaging is language-neutral (only name and pictorial markings)</v>
          </cell>
          <cell r="AM8" t="str">
            <v>18.1. Following languages are used on the label/product packaging</v>
          </cell>
          <cell r="AN8" t="str">
            <v>19. Does the product require directions for use?</v>
          </cell>
          <cell r="AO8" t="str">
            <v>19.1. The directions for use are in the following languages:</v>
          </cell>
          <cell r="AP8" t="str">
            <v>20. Is item subject to strorage and/or transport temperature limits?</v>
          </cell>
          <cell r="AQ8" t="str">
            <v xml:space="preserve">20.1. Storage temperature </v>
          </cell>
          <cell r="AS8" t="str">
            <v xml:space="preserve">20.2. Transport temperature </v>
          </cell>
          <cell r="AU8" t="str">
            <v>20.3. Maximum allowed duration of transport temperature</v>
          </cell>
          <cell r="AV8" t="str">
            <v>20.4. Item is frost-sensitive</v>
          </cell>
          <cell r="AW8" t="str">
            <v xml:space="preserve">21. Is the item a medicinal product? </v>
          </cell>
          <cell r="AX8" t="str">
            <v xml:space="preserve">21.1. Item is an anaesthetic? </v>
          </cell>
          <cell r="AY8" t="str">
            <v>21.2. Item is a finished medicinal product?</v>
          </cell>
          <cell r="AZ8" t="str">
            <v>21.3. Item is used for replacement of body fluids or correction of body fluid deficits?</v>
          </cell>
          <cell r="BA8" t="str">
            <v>21.4. Item is used only in dentistry?</v>
          </cell>
          <cell r="BB8" t="str">
            <v>21.5. Item is a pharmacy-only product?</v>
          </cell>
          <cell r="BC8" t="str">
            <v>21.6. Item is a prescription-only product?</v>
          </cell>
          <cell r="BD8" t="str">
            <v>21.7. Item is available over-the-counter (OTC)?</v>
          </cell>
          <cell r="BE8" t="str">
            <v>21.8. Product is subject to GKV-WSG (German Act to Strengthen Competition in SHI) of April 1, 2007?</v>
          </cell>
          <cell r="BF8" t="str">
            <v>21.9. Item only be distributed to persons with basic training in human medicine?</v>
          </cell>
          <cell r="BG8" t="str">
            <v>21.10. Item is officially approved (authorised) for the following countries:</v>
          </cell>
          <cell r="BH8" t="str">
            <v xml:space="preserve">21.11. Marketing authorisation number of the medicinal product </v>
          </cell>
          <cell r="BI8" t="str">
            <v>22. Item is a medical device?</v>
          </cell>
          <cell r="BJ8" t="str">
            <v>22.1. Please indicate medical device class</v>
          </cell>
          <cell r="BK8" t="str">
            <v>22.2. Item is subject to the MPAV?
(German Ordinance on the Sale of Medical Devices)</v>
          </cell>
          <cell r="BL8" t="str">
            <v>22.3. Item falls into the category of consumable supplies for so-called consultation overhead? (only Fluoridising Items)</v>
          </cell>
          <cell r="BM8" t="str">
            <v>23. Item is a spare part?</v>
          </cell>
          <cell r="BN8" t="str">
            <v>23.1. Obligatory return to manufacturer for repair-exchange?</v>
          </cell>
          <cell r="BO8" t="str">
            <v>24. Item is a biocide?</v>
          </cell>
          <cell r="BP8" t="str">
            <v>24.1 BAUA Registration Number
(German Federal Institute for Occupational Safety and Health)</v>
          </cell>
          <cell r="BQ8" t="str">
            <v>25. Item is a food item?</v>
          </cell>
          <cell r="BR8" t="str">
            <v>26. Item is a cosmetic product?</v>
          </cell>
          <cell r="BS8" t="str">
            <v>27. Indicate VOC content
(Volatile Organic Compounds)</v>
          </cell>
          <cell r="BT8" t="str">
            <v>28. Safety data sheet (SDS) available?</v>
          </cell>
          <cell r="BU8" t="str">
            <v>28.1. Last revision date of safety data sheet</v>
          </cell>
          <cell r="BV8" t="str">
            <v>28.2. Item is subject to German Chemicals Prohibition Ordinance (ChemVerbotsV)?</v>
          </cell>
          <cell r="BW8" t="str">
            <v>29. Item is a dangerous good?</v>
          </cell>
          <cell r="BX8" t="str">
            <v>29.1. Item is subject to Limited Quantity provision</v>
          </cell>
          <cell r="BY8" t="str">
            <v>29.2. Dangerous goods class according to ADR</v>
          </cell>
          <cell r="BZ8" t="str">
            <v>29.3. Name and description according to ADR table</v>
          </cell>
          <cell r="CA8" t="str">
            <v>29.4. UN number</v>
          </cell>
          <cell r="CB8" t="str">
            <v>29.5. Number indicating degree of danger</v>
          </cell>
          <cell r="CC8" t="str">
            <v>29.6. Transport category</v>
          </cell>
          <cell r="CD8" t="str">
            <v>29.7. Packing group</v>
          </cell>
          <cell r="CE8" t="str">
            <v>29.8. Waste disposal code</v>
          </cell>
          <cell r="CF8" t="str">
            <v>29.9. Storage category</v>
          </cell>
          <cell r="CG8" t="str">
            <v>29.10. Classification code</v>
          </cell>
          <cell r="CH8" t="str">
            <v>29.11. Tunnel restriction code</v>
          </cell>
          <cell r="CI8" t="str">
            <v>29.12. Hazard label</v>
          </cell>
          <cell r="CJ8" t="str">
            <v xml:space="preserve">29.13. Contents per inner packaging </v>
          </cell>
          <cell r="CK8" t="str">
            <v>29.14. Type of packaging</v>
          </cell>
          <cell r="CL8" t="str">
            <v>29.15. Environmental risk</v>
          </cell>
          <cell r="CM8" t="str">
            <v xml:space="preserve">29.16. Water hazard class in Germany (WGK) </v>
          </cell>
          <cell r="CN8" t="str">
            <v>29.17. Product contains perflourinated or partly flourinated hydrocarbons (PFCs and HFCs)</v>
          </cell>
          <cell r="CO8" t="str">
            <v>30. Batch identification/LOT number on packaging is clearly recognizable from the outside?</v>
          </cell>
          <cell r="CP8" t="str">
            <v>31. Item has a maximum usability period?</v>
          </cell>
          <cell r="CQ8" t="str">
            <v>31.1. Date of expiry is clearly indicated on the outside of the packaging?</v>
          </cell>
          <cell r="CR8" t="str">
            <v>31.2. Period of usability after opening is printed on the packaging?</v>
          </cell>
          <cell r="CS8" t="str">
            <v>31.3. Date of manufacture is clearly visible on the outside of the packaging?</v>
          </cell>
          <cell r="CT8" t="str">
            <v>32. Item is a device</v>
          </cell>
          <cell r="CU8" t="str">
            <v>32.1. Exact dimensions of the device (without outer packaging)</v>
          </cell>
          <cell r="CX8" t="str">
            <v>32.2. Holding capacity of the device?</v>
          </cell>
          <cell r="CY8" t="str">
            <v>32.3. Application temperature</v>
          </cell>
          <cell r="CZ8" t="str">
            <v>32.4. Power consumption/output</v>
          </cell>
          <cell r="DA8" t="str">
            <v>32.5. Technician needed for installation?</v>
          </cell>
          <cell r="DC8" t="str">
            <v>32.6.1. Number of imprinted serial numbers (e.g. in a set)?</v>
          </cell>
          <cell r="DE8" t="str">
            <v>32.7.1. Item is registered in Europe according to WEEE ("ElektroG" in Germany)?</v>
          </cell>
          <cell r="DF8" t="str">
            <v>32.7.2. Item has to be registered according to WEEE ("ElektroG" in Germany)?</v>
          </cell>
          <cell r="DH8" t="str">
            <v>32.8.1. Item is registered in Germany according to the German Batteries Act (BattG)?</v>
          </cell>
          <cell r="DI8" t="str">
            <v>32.8.2. Type of dry-cell/rechargeable battery:</v>
          </cell>
          <cell r="DJ8" t="str">
            <v>32.8.3. Number of batteries</v>
          </cell>
          <cell r="DK8" t="str">
            <v>32.8.4. Batteries are built-in (non-removable)?</v>
          </cell>
          <cell r="DL8" t="str">
            <v>33. Item has guarantee or warranty?</v>
          </cell>
          <cell r="DM8" t="str">
            <v xml:space="preserve">33.1. Warranty period from date of delivery to distributor: </v>
          </cell>
          <cell r="DN8" t="str">
            <v>33.2. Warranty period from date of delivery to our customers:</v>
          </cell>
          <cell r="DO8" t="str">
            <v>33.3. Guarantee period from date of delivery to distributor:</v>
          </cell>
          <cell r="DP8" t="str">
            <v>33.4. Guarantee period from date of delivery to our customers:</v>
          </cell>
          <cell r="DQ8" t="str">
            <v>34. Sales packaging is licensed for the “Dual Disposal System” in Germany?</v>
          </cell>
          <cell r="DR8" t="str">
            <v>34.1. Weight of packaging of bulk pack incl. filling/padding material, but without individual packaging!</v>
          </cell>
          <cell r="DX8" t="str">
            <v>34.2. Bulk packaging may be disposed via a Dual Disposal System (see listed packaging types)?</v>
          </cell>
          <cell r="DY8" t="str">
            <v>34.3. Weight of packaging of individual /normal packaging without product packaging</v>
          </cell>
          <cell r="EE8" t="str">
            <v>34.4. Normal packaging may be disposed via a Dual Disposal System (see listed packaging types)?</v>
          </cell>
          <cell r="EF8" t="str">
            <v>34.5. Weight of empty product packaging (no rest)( if applicable if a product is thrown away, like a syringe)</v>
          </cell>
          <cell r="EL8" t="str">
            <v>34.6. Empty product packaging (no rest)may be disposed via a Dual Disposal System (see listed packaging types).</v>
          </cell>
          <cell r="EM8" t="str">
            <v>35. Minimum order quantity</v>
          </cell>
          <cell r="EN8" t="str">
            <v>36. Contents per individual packaging</v>
          </cell>
          <cell r="EO8" t="str">
            <v>37. Dimensions and weight of individual packaging</v>
          </cell>
          <cell r="ET8" t="str">
            <v>38. Item has an additonal, secondary packaging?</v>
          </cell>
          <cell r="EU8" t="str">
            <v>38.1. The secondary packaging may be opened and the item shipped without it?</v>
          </cell>
          <cell r="EV8" t="str">
            <v>38.2. Number of individual packs within a secondary packaging</v>
          </cell>
          <cell r="EW8" t="str">
            <v>38.3. Dimensions and weight of secondary packaging incl. individual packs</v>
          </cell>
          <cell r="FB8" t="str">
            <v>39. Is there any packaging/handling information that needs to be observed?</v>
          </cell>
          <cell r="FC8" t="str">
            <v>39.1. list the packaging/handling information</v>
          </cell>
          <cell r="FD8" t="str">
            <v>39.2. Number of items per pallet</v>
          </cell>
          <cell r="FE8" t="str">
            <v>39.3. Height of pallet</v>
          </cell>
          <cell r="FF8" t="str">
            <v>40. Customs tariff code (8 - 11 digits)</v>
          </cell>
          <cell r="FG8" t="str">
            <v>41. Dual-use item?
 (EG Dual Use Order)</v>
          </cell>
          <cell r="FH8" t="str">
            <v>42. Country of origin</v>
          </cell>
          <cell r="FI8" t="str">
            <v>43. State/province of origin (if applicable)</v>
          </cell>
          <cell r="FJ8" t="str">
            <v>44. Item with preferential origin status (only applicabe within EU)?</v>
          </cell>
          <cell r="FK8" t="str">
            <v>45. Recommended retail price</v>
          </cell>
          <cell r="FL8" t="str">
            <v>45.1. Discount group (teeth, consumable supplies, ...)</v>
          </cell>
          <cell r="FM8" t="str">
            <v>46. VAT for Germany (full or reduced)</v>
          </cell>
          <cell r="FN8" t="str">
            <v>47. Please list, or provide as attachments, any special features or other additional information on the item</v>
          </cell>
          <cell r="FO8" t="str">
            <v>47.1. File name of attached safety data sheet (SD)</v>
          </cell>
          <cell r="FP8" t="str">
            <v>47.2. File name of attached picture (BD)</v>
          </cell>
          <cell r="FQ8" t="str">
            <v>47.3. File name of attached product description (PB)</v>
          </cell>
          <cell r="FR8" t="str">
            <v>47.4. File name of attached medicinal product information (AF)</v>
          </cell>
          <cell r="FS8" t="str">
            <v>47.5. File name of declaration of conformity for medical devices (KM)</v>
          </cell>
          <cell r="FT8" t="str">
            <v>48. Exclusive Item</v>
          </cell>
          <cell r="FU8" t="str">
            <v>48.1. Exclusive Item 
(claimed dealer)</v>
          </cell>
          <cell r="FV8" t="str">
            <v>49. Product is subject to the regulation (EU) 2016/425 on personal protective equipment</v>
          </cell>
          <cell r="FW8" t="str">
            <v>49.1. Please indicate personal protective equipment category</v>
          </cell>
          <cell r="FX8" t="str">
            <v>50. Product is a set?</v>
          </cell>
          <cell r="FY8" t="str">
            <v>22.4. MDR or MDD registration?</v>
          </cell>
          <cell r="FZ8" t="str">
            <v>22.5. Basis UDI-DI (Unique Device Identification)</v>
          </cell>
          <cell r="GA8" t="str">
            <v>22.6. notified body</v>
          </cell>
          <cell r="GB8" t="str">
            <v>22.7. Validity of the Declaration of Conformity until…</v>
          </cell>
        </row>
        <row r="9">
          <cell r="A9">
            <v>22</v>
          </cell>
          <cell r="C9" t="str">
            <v>2.1. Name</v>
          </cell>
          <cell r="D9" t="str">
            <v>2.2. Phone number</v>
          </cell>
          <cell r="E9" t="str">
            <v>2.3. E-mail address</v>
          </cell>
          <cell r="AQ9" t="str">
            <v xml:space="preserve">20.1.1.
Min. </v>
          </cell>
          <cell r="AR9" t="str">
            <v xml:space="preserve">20.1.2.
Max. </v>
          </cell>
          <cell r="AS9" t="str">
            <v xml:space="preserve">20.2.1.
Min. </v>
          </cell>
          <cell r="AT9" t="str">
            <v xml:space="preserve">20.2.2.
Max. </v>
          </cell>
          <cell r="CU9" t="str">
            <v>32.1.1. Length</v>
          </cell>
          <cell r="CV9" t="str">
            <v>32.1.2. Width</v>
          </cell>
          <cell r="CW9" t="str">
            <v>32.1.3. Height</v>
          </cell>
          <cell r="DB9" t="str">
            <v>32.6. Device has serial number?</v>
          </cell>
          <cell r="DD9" t="str">
            <v xml:space="preserve">32.7. Is the item electricity-driven? </v>
          </cell>
          <cell r="DG9" t="str">
            <v>32.8. Item contains dry-cell and/or rechargeable batteries?</v>
          </cell>
          <cell r="DR9" t="str">
            <v>34.1.1. Plastics</v>
          </cell>
          <cell r="DS9" t="str">
            <v>34.1.2. Paper, paperboard, cardboard</v>
          </cell>
          <cell r="DT9" t="str">
            <v>34.1.3. Composites</v>
          </cell>
          <cell r="DU9" t="str">
            <v>34.1.4. Glass</v>
          </cell>
          <cell r="DV9" t="str">
            <v>34.1.5. Aluminium</v>
          </cell>
          <cell r="DW9" t="str">
            <v>34.1.6. Tinplate</v>
          </cell>
          <cell r="DY9" t="str">
            <v>34.3.1. Plastics</v>
          </cell>
          <cell r="DZ9" t="str">
            <v>34.3.2. Paper, paperboard, cardboard</v>
          </cell>
          <cell r="EA9" t="str">
            <v>34.3.3. Composites</v>
          </cell>
          <cell r="EB9" t="str">
            <v>34.3.4. Glass</v>
          </cell>
          <cell r="EC9" t="str">
            <v>34.3.5. Aluminium</v>
          </cell>
          <cell r="ED9" t="str">
            <v>34.3.6. Tinplate</v>
          </cell>
          <cell r="EF9" t="str">
            <v>34.5.1. Plastics</v>
          </cell>
          <cell r="EG9" t="str">
            <v>34.5.2. Paper, cupboard, paperboard</v>
          </cell>
          <cell r="EH9" t="str">
            <v>34.5.3. Composites</v>
          </cell>
          <cell r="EI9" t="str">
            <v>34.5.4. Glass</v>
          </cell>
          <cell r="EJ9" t="str">
            <v>34.5.5. Aluminium</v>
          </cell>
          <cell r="EK9" t="str">
            <v>34.5.6. Tinplate</v>
          </cell>
          <cell r="EO9" t="str">
            <v xml:space="preserve">37.1. Length </v>
          </cell>
          <cell r="EP9" t="str">
            <v>37.2. Width</v>
          </cell>
          <cell r="EQ9" t="str">
            <v>37.3. Height</v>
          </cell>
          <cell r="ER9" t="str">
            <v>37.4. Gross weight</v>
          </cell>
          <cell r="ES9" t="str">
            <v>37.5. Net weight</v>
          </cell>
          <cell r="EW9" t="str">
            <v xml:space="preserve">38.3.1. Length </v>
          </cell>
          <cell r="EX9" t="str">
            <v>38.3.2. Width</v>
          </cell>
          <cell r="EY9" t="str">
            <v>38.3.3. Height</v>
          </cell>
          <cell r="EZ9" t="str">
            <v>38.3.4. Gross weight</v>
          </cell>
          <cell r="FA9" t="str">
            <v>38.3.5. Net weight</v>
          </cell>
        </row>
        <row r="10">
          <cell r="A10">
            <v>23</v>
          </cell>
          <cell r="B10" t="str">
            <v>!Y</v>
          </cell>
          <cell r="C10" t="str">
            <v>Text field</v>
          </cell>
          <cell r="D10" t="str">
            <v>Text field</v>
          </cell>
          <cell r="E10" t="str">
            <v>Text field</v>
          </cell>
          <cell r="F10" t="str">
            <v>Date (dd.mm.yyyy)</v>
          </cell>
          <cell r="G10" t="str">
            <v>N=New item data creation
A=Amendment (change)
Z=No longer available/deliverable</v>
          </cell>
          <cell r="H10" t="str">
            <v>Alphanumerical</v>
          </cell>
          <cell r="I10" t="str">
            <v>Date (dd.mm.yyyy)</v>
          </cell>
          <cell r="J10" t="str">
            <v>Date (dd.mm.yyyy)</v>
          </cell>
          <cell r="K10" t="str">
            <v>bag, can, bucket, bottle, canister, carton, sample, pack, roll, set, dipenser, syringe, piece, tube, …</v>
          </cell>
          <cell r="L10" t="str">
            <v>(Y/N)</v>
          </cell>
          <cell r="M10" t="str">
            <v>Date (dd.mm.yyyy)</v>
          </cell>
          <cell r="N10" t="str">
            <v>Alphanumerical</v>
          </cell>
          <cell r="O10" t="str">
            <v>Text field</v>
          </cell>
          <cell r="P10" t="str">
            <v>Alphanumerical
If manufacturer = supplier, then enter the exact manufacturer's item number.</v>
          </cell>
          <cell r="Q10" t="str">
            <v>Text field
Please attach detailed product description as a separate file if available.
Exact item name in different languages please identify by ISO 3166 country code and separate with / in between.
Example:. DE_exact item name/GB_exact item name</v>
          </cell>
          <cell r="R10" t="str">
            <v>Text field
Please fill in if supplier and manufacturer are not the same.</v>
          </cell>
          <cell r="S10" t="str">
            <v>Text field
Please fill in if supplier and manufacturer are not the same.</v>
          </cell>
          <cell r="T10" t="str">
            <v>Please indicate countries by using ISO 3166 country codes, and separate codes with / in between.</v>
          </cell>
          <cell r="U10" t="str">
            <v>(N/i/o</v>
          </cell>
          <cell r="V10" t="str">
            <v>(Y/N)</v>
          </cell>
          <cell r="W10" t="str">
            <v>Numerical</v>
          </cell>
          <cell r="X10" t="str">
            <v>Numerical</v>
          </cell>
          <cell r="Y10" t="str">
            <v>Numerical</v>
          </cell>
          <cell r="Z10" t="str">
            <v>Numerical</v>
          </cell>
          <cell r="AA10" t="str">
            <v>Alphanumerical</v>
          </cell>
          <cell r="AB10" t="str">
            <v>Alphanumerical</v>
          </cell>
          <cell r="AC10" t="str">
            <v>Alphanumerical</v>
          </cell>
          <cell r="AD10" t="str">
            <v>Alphanumerical</v>
          </cell>
          <cell r="AE10" t="str">
            <v>Numerical</v>
          </cell>
          <cell r="AF10" t="str">
            <v>Numerical</v>
          </cell>
          <cell r="AG10" t="str">
            <v>(Numerical / N)</v>
          </cell>
          <cell r="AH10" t="str">
            <v>Alphanumerical</v>
          </cell>
          <cell r="AI10" t="str">
            <v>Dental = DENT
Medical = MED
Veterinary = VET 
separate codes with / in between</v>
          </cell>
          <cell r="AJ10" t="str">
            <v>P = practice (medical)
L = laboratory
B = both</v>
          </cell>
          <cell r="AK10" t="str">
            <v>(Y/N)</v>
          </cell>
          <cell r="AL10" t="str">
            <v>(Y/N)</v>
          </cell>
          <cell r="AM10" t="str">
            <v>Please indicate languages with country codes according to ISO 3166, and separate codes with / in between.</v>
          </cell>
          <cell r="AN10" t="str">
            <v>(Y/N)</v>
          </cell>
          <cell r="AO10" t="str">
            <v>Please indicate languages by using ISO 3166 country codes, and separate codes with / in between.</v>
          </cell>
          <cell r="AP10" t="str">
            <v>(Y/N)</v>
          </cell>
          <cell r="AQ10" t="str">
            <v>in °C</v>
          </cell>
          <cell r="AU10" t="str">
            <v>in hours (h)</v>
          </cell>
          <cell r="AV10" t="str">
            <v>(Y/N)</v>
          </cell>
          <cell r="AW10" t="str">
            <v>(Y/N)</v>
          </cell>
          <cell r="AX10" t="str">
            <v>(Y/N)</v>
          </cell>
          <cell r="AY10" t="str">
            <v>(Y/N)</v>
          </cell>
          <cell r="AZ10" t="str">
            <v>(Y/N)</v>
          </cell>
          <cell r="BA10" t="str">
            <v>(Y/N)</v>
          </cell>
          <cell r="BB10" t="str">
            <v>(Y/N)</v>
          </cell>
          <cell r="BC10" t="str">
            <v>(Y/N)</v>
          </cell>
          <cell r="BD10" t="str">
            <v>(Y/N)</v>
          </cell>
          <cell r="BE10" t="str">
            <v>(Y/N)</v>
          </cell>
          <cell r="BF10" t="str">
            <v>(Y/N)</v>
          </cell>
          <cell r="BG10" t="str">
            <v>Please indicate countries by using ISO 3166 country codes, and separate codes with / in between.</v>
          </cell>
          <cell r="BH10" t="str">
            <v>Alphanumerical</v>
          </cell>
          <cell r="BI10" t="str">
            <v>(Y/N)</v>
          </cell>
          <cell r="BJ10" t="str">
            <v>(I, Is, Im, IIa, IIb, III, IVD)</v>
          </cell>
          <cell r="BK10" t="str">
            <v>(Y/N)</v>
          </cell>
          <cell r="BL10" t="str">
            <v>(Y/N)</v>
          </cell>
          <cell r="BM10" t="str">
            <v>(Y/N)</v>
          </cell>
          <cell r="BN10" t="str">
            <v>(Y/N)</v>
          </cell>
          <cell r="BO10" t="str">
            <v>(Y/N)</v>
          </cell>
          <cell r="BP10" t="str">
            <v>Numerical</v>
          </cell>
          <cell r="BQ10" t="str">
            <v>(Y/N)</v>
          </cell>
          <cell r="BR10" t="str">
            <v>(Y/N)</v>
          </cell>
          <cell r="BS10" t="str">
            <v>in gramme (g) or percent (%)
If available, please provide both (e.g. 3g / 15%)</v>
          </cell>
          <cell r="BT10" t="str">
            <v>(Y/N)
If a safety data sheet is available, it has to be provided together with this file!</v>
          </cell>
          <cell r="BU10" t="str">
            <v>Date (dd.mm.yyyy)</v>
          </cell>
          <cell r="BV10" t="str">
            <v>(Y/N)</v>
          </cell>
          <cell r="BW10" t="str">
            <v>(Y/N)</v>
          </cell>
          <cell r="BX10" t="str">
            <v>(Y/N)</v>
          </cell>
          <cell r="BY10" t="str">
            <v>Numerical</v>
          </cell>
          <cell r="BZ10" t="str">
            <v>Text field</v>
          </cell>
          <cell r="CA10" t="str">
            <v>Numerical</v>
          </cell>
          <cell r="CB10" t="str">
            <v>Numerical</v>
          </cell>
          <cell r="CC10" t="str">
            <v>Numerical</v>
          </cell>
          <cell r="CD10" t="str">
            <v>Numerical</v>
          </cell>
          <cell r="CE10" t="str">
            <v>Numerical</v>
          </cell>
          <cell r="CF10" t="str">
            <v>Numerical</v>
          </cell>
          <cell r="CG10" t="str">
            <v>Numerical</v>
          </cell>
          <cell r="CH10" t="str">
            <v>Please provide complete code incl. brackets.</v>
          </cell>
          <cell r="CI10" t="str">
            <v>Numerical</v>
          </cell>
          <cell r="CJ10" t="str">
            <v>Numerical
in millilitre (ml) or gram (g)</v>
          </cell>
          <cell r="CK10" t="str">
            <v>Barrel/drum; canister; box, pouch/bag/sack; composite packaging; light gauge metal packaging</v>
          </cell>
          <cell r="CL10" t="str">
            <v>(Y/N)</v>
          </cell>
          <cell r="CM10" t="str">
            <v>Numerical</v>
          </cell>
          <cell r="CN10" t="str">
            <v>(Y/N)</v>
          </cell>
          <cell r="CO10" t="str">
            <v>(Y/N)</v>
          </cell>
          <cell r="CP10" t="str">
            <v>(Y/N)</v>
          </cell>
          <cell r="CQ10" t="str">
            <v>(Y/N)</v>
          </cell>
          <cell r="CR10" t="str">
            <v>(Y/N)</v>
          </cell>
          <cell r="CS10" t="str">
            <v>(Y/N)</v>
          </cell>
          <cell r="CT10" t="str">
            <v>(Y/N)</v>
          </cell>
          <cell r="CU10" t="str">
            <v>in millimetres (mm)</v>
          </cell>
          <cell r="CX10" t="str">
            <v>in litres (l)</v>
          </cell>
          <cell r="CY10" t="str">
            <v>in °C</v>
          </cell>
          <cell r="CZ10" t="str">
            <v>in Watts (W)</v>
          </cell>
          <cell r="DA10" t="str">
            <v>(Y/N)</v>
          </cell>
          <cell r="DB10" t="str">
            <v>(Y/N)</v>
          </cell>
          <cell r="DC10" t="str">
            <v>Numerical</v>
          </cell>
          <cell r="DD10" t="str">
            <v>(Y/N)</v>
          </cell>
          <cell r="DE10" t="str">
            <v>(Y/N)</v>
          </cell>
          <cell r="DF10" t="str">
            <v>(Y/N)</v>
          </cell>
          <cell r="DG10" t="str">
            <v>(Y/N)</v>
          </cell>
          <cell r="DH10" t="str">
            <v>(Y/N)</v>
          </cell>
          <cell r="DI10" t="str">
            <v>Text field
(Li-ion, Li-metal, Lead-based, NiCa, etc.)</v>
          </cell>
          <cell r="DJ10" t="str">
            <v>Numerical</v>
          </cell>
          <cell r="DK10" t="str">
            <v>(Y/N)</v>
          </cell>
          <cell r="DL10" t="str">
            <v>(Y/N)</v>
          </cell>
          <cell r="DM10" t="str">
            <v>in months</v>
          </cell>
          <cell r="DN10" t="str">
            <v>in months</v>
          </cell>
          <cell r="DO10" t="str">
            <v>in months</v>
          </cell>
          <cell r="DP10" t="str">
            <v>in months</v>
          </cell>
          <cell r="DQ10" t="str">
            <v>(Y/N)</v>
          </cell>
          <cell r="DR10" t="str">
            <v>in grams (g)</v>
          </cell>
          <cell r="DX10" t="str">
            <v>(Y/N)</v>
          </cell>
          <cell r="DY10" t="str">
            <v>in grams (g)</v>
          </cell>
          <cell r="EE10" t="str">
            <v>(Y/N)</v>
          </cell>
          <cell r="EF10" t="str">
            <v>in grams (g)</v>
          </cell>
          <cell r="EL10" t="str">
            <v>(Y/N)</v>
          </cell>
          <cell r="EM10" t="str">
            <v>in units</v>
          </cell>
          <cell r="EN10" t="str">
            <v>Numerical</v>
          </cell>
          <cell r="EO10" t="str">
            <v>in millimetres (mm)</v>
          </cell>
          <cell r="ER10" t="str">
            <v>in gram (g)</v>
          </cell>
          <cell r="ET10" t="str">
            <v>(Y/N)</v>
          </cell>
          <cell r="EU10" t="str">
            <v>(Y/N)</v>
          </cell>
          <cell r="EV10" t="str">
            <v>Numerical</v>
          </cell>
          <cell r="EW10" t="str">
            <v>Numerical in millimetres (mm)</v>
          </cell>
          <cell r="EZ10" t="str">
            <v>Numerical in gram (g)</v>
          </cell>
          <cell r="FB10" t="str">
            <v>(Y/N)</v>
          </cell>
          <cell r="FC10" t="str">
            <v>Text field</v>
          </cell>
          <cell r="FD10" t="str">
            <v>Numerical</v>
          </cell>
          <cell r="FE10" t="str">
            <v>in millimetres (mm)</v>
          </cell>
          <cell r="FF10" t="str">
            <v>Numerical, 8 - 11 digits</v>
          </cell>
          <cell r="FG10" t="str">
            <v>(Y/N)</v>
          </cell>
          <cell r="FH10" t="str">
            <v>two-digit, in accord. with ISO 3166, Alpha 2</v>
          </cell>
          <cell r="FI10" t="str">
            <v>Text field</v>
          </cell>
          <cell r="FJ10" t="str">
            <v>(Y/N)</v>
          </cell>
          <cell r="FK10" t="str">
            <v>in EUR</v>
          </cell>
          <cell r="FL10" t="str">
            <v>Text field</v>
          </cell>
          <cell r="FM10" t="str">
            <v>in percentage (%)</v>
          </cell>
          <cell r="FN10" t="str">
            <v>Text and/or attachments / N
(e.g. contains latex)</v>
          </cell>
          <cell r="FO10" t="str">
            <v>original suppliers name of the file</v>
          </cell>
          <cell r="FP10" t="str">
            <v>Please name files as follows: "abbreviation of attachment type_ISO 3166 country code_item number_issue date as yyyymmdd"
Abbreviations for attachment types: safety data sheet = SD; picture = BD; product description = PB; bill of material = SL; medicinal product information = AF; declaration of conformity = KM</v>
          </cell>
          <cell r="FT10" t="str">
            <v>(Y/N)</v>
          </cell>
          <cell r="FU10" t="str">
            <v>Please indicate dealers and separate with / in between. (For Example: DU/HSC/PD/NWD/M&amp;W)</v>
          </cell>
          <cell r="FV10" t="str">
            <v>(Y/N)</v>
          </cell>
          <cell r="FW10" t="str">
            <v>(I, II, III)</v>
          </cell>
          <cell r="FX10" t="str">
            <v>(Y/N)</v>
          </cell>
          <cell r="FY10" t="str">
            <v>MDR or MDD</v>
          </cell>
          <cell r="FZ10" t="str">
            <v>Alphanumerical</v>
          </cell>
          <cell r="GA10" t="str">
            <v>Alphanumerical</v>
          </cell>
          <cell r="GB10" t="str">
            <v>Date (dd.mm.yyyy)</v>
          </cell>
        </row>
        <row r="11">
          <cell r="A11">
            <v>24</v>
          </cell>
          <cell r="B11" t="str">
            <v>only needed for csv convention</v>
          </cell>
          <cell r="C11" t="str">
            <v>Mandatory field</v>
          </cell>
          <cell r="D11" t="str">
            <v>Mandatory field</v>
          </cell>
          <cell r="E11" t="str">
            <v>Mandatory field</v>
          </cell>
          <cell r="F11" t="str">
            <v>Mandatory field</v>
          </cell>
          <cell r="G11" t="str">
            <v>Mandatory field
If "N" or "A", please fill in the following fields (grey column headers), too.</v>
          </cell>
          <cell r="H11" t="str">
            <v>Dependent field</v>
          </cell>
          <cell r="I11" t="str">
            <v>Dependent field</v>
          </cell>
          <cell r="J11" t="str">
            <v>Dependent field</v>
          </cell>
          <cell r="K11" t="str">
            <v>Dependent field</v>
          </cell>
          <cell r="L11" t="str">
            <v>Mandatory field
If "Y", please fill in the following fields (grey column headers), too.</v>
          </cell>
          <cell r="M11" t="str">
            <v>Dependent field</v>
          </cell>
          <cell r="N11" t="str">
            <v>Dependent field</v>
          </cell>
          <cell r="O11" t="str">
            <v>Mandatory field</v>
          </cell>
          <cell r="P11" t="str">
            <v>Mandatory field</v>
          </cell>
          <cell r="Q11" t="str">
            <v>Mandatory field</v>
          </cell>
          <cell r="R11" t="str">
            <v>Mandatory field</v>
          </cell>
          <cell r="S11" t="str">
            <v>Mandatory field</v>
          </cell>
          <cell r="T11" t="str">
            <v>Mandatory field</v>
          </cell>
          <cell r="U11" t="str">
            <v>Mandatory field</v>
          </cell>
          <cell r="V11" t="str">
            <v>Mandatory field
If "Y", please fill in all existing barcodes in the following fields (grey column headers).</v>
          </cell>
          <cell r="W11" t="str">
            <v>Dependent field</v>
          </cell>
          <cell r="X11" t="str">
            <v>Dependent field</v>
          </cell>
          <cell r="Y11" t="str">
            <v>Dependent field</v>
          </cell>
          <cell r="Z11" t="str">
            <v>Dependent field</v>
          </cell>
          <cell r="AA11" t="str">
            <v>Dependent field</v>
          </cell>
          <cell r="AB11" t="str">
            <v>Dependent field</v>
          </cell>
          <cell r="AC11" t="str">
            <v>Dependent field</v>
          </cell>
          <cell r="AD11" t="str">
            <v>Dependent field</v>
          </cell>
          <cell r="AE11" t="str">
            <v>Dependent field</v>
          </cell>
          <cell r="AF11" t="str">
            <v>Dependent field</v>
          </cell>
          <cell r="AG11" t="str">
            <v>Mandatory field
If "Y", please enter code and fill in the following field (grey column header).</v>
          </cell>
          <cell r="AH11" t="str">
            <v>Dependent field</v>
          </cell>
          <cell r="AI11" t="str">
            <v>Mandatory field</v>
          </cell>
          <cell r="AJ11" t="str">
            <v>Mandatory field</v>
          </cell>
          <cell r="AK11" t="str">
            <v>Mandatory field</v>
          </cell>
          <cell r="AL11" t="str">
            <v>Mandatory field
If "N", please fill in the following field (grey column header), too.</v>
          </cell>
          <cell r="AM11" t="str">
            <v>Dependent field</v>
          </cell>
          <cell r="AN11" t="str">
            <v>Mandatory field
If "Y", please fill in the following field (grey column header), too.</v>
          </cell>
          <cell r="AO11" t="str">
            <v>Dependent field</v>
          </cell>
          <cell r="AP11" t="str">
            <v>Mandatory field
If "Y", please fill in the following fields (grey column headers), too.</v>
          </cell>
          <cell r="AQ11" t="str">
            <v>Dependent field</v>
          </cell>
          <cell r="AR11" t="str">
            <v>Dependent field</v>
          </cell>
          <cell r="AS11" t="str">
            <v>Dependent field</v>
          </cell>
          <cell r="AT11" t="str">
            <v>Dependent field</v>
          </cell>
          <cell r="AU11" t="str">
            <v>Dependent field</v>
          </cell>
          <cell r="AV11" t="str">
            <v>Dependent field</v>
          </cell>
          <cell r="AW11" t="str">
            <v>Mandatory field
If "Y", please fill in the following fields (grey column headers), too.</v>
          </cell>
          <cell r="AX11" t="str">
            <v>Dependent field</v>
          </cell>
          <cell r="AY11" t="str">
            <v>Dependent field</v>
          </cell>
          <cell r="AZ11" t="str">
            <v>Dependent field</v>
          </cell>
          <cell r="BA11" t="str">
            <v>Dependent field</v>
          </cell>
          <cell r="BB11" t="str">
            <v>Dependent field</v>
          </cell>
          <cell r="BC11" t="str">
            <v>Dependent field</v>
          </cell>
          <cell r="BD11" t="str">
            <v>Dependent field</v>
          </cell>
          <cell r="BE11" t="str">
            <v>Dependent field</v>
          </cell>
          <cell r="BF11" t="str">
            <v>Dependent field</v>
          </cell>
          <cell r="BG11" t="str">
            <v>Dependent field</v>
          </cell>
          <cell r="BH11" t="str">
            <v>Dependent field</v>
          </cell>
          <cell r="BI11" t="str">
            <v>Mandatory field
If "Y", please fill in the following fields (grey column headers), too.</v>
          </cell>
          <cell r="BJ11" t="str">
            <v>Dependent field</v>
          </cell>
          <cell r="BK11" t="str">
            <v>Dependent field</v>
          </cell>
          <cell r="BL11" t="str">
            <v>Dependent field</v>
          </cell>
          <cell r="BM11" t="str">
            <v>Mandatory field
If "Y", please fill in the following field (grey column header), too.</v>
          </cell>
          <cell r="BN11" t="str">
            <v>Dependent field</v>
          </cell>
          <cell r="BO11" t="str">
            <v>Mandatory field
If "Y", please fill in the following field (grey column header), too.</v>
          </cell>
          <cell r="BP11" t="str">
            <v>Dependent field</v>
          </cell>
          <cell r="BQ11" t="str">
            <v>Mandatory field</v>
          </cell>
          <cell r="BR11" t="str">
            <v>Mandatory field</v>
          </cell>
          <cell r="BS11" t="str">
            <v>Mandatory field</v>
          </cell>
          <cell r="BT11" t="str">
            <v>Mandatory field
If "Y", please fill in the following fields (grey column headers), too.</v>
          </cell>
          <cell r="BU11" t="str">
            <v>Dependent field</v>
          </cell>
          <cell r="BV11" t="str">
            <v>Dependent field</v>
          </cell>
          <cell r="BW11" t="str">
            <v>Mandatory field
If "Y", please fill in the following fields (grey column headers), too.</v>
          </cell>
          <cell r="BX11" t="str">
            <v>Dependent field</v>
          </cell>
          <cell r="BY11" t="str">
            <v>Dependent field</v>
          </cell>
          <cell r="BZ11" t="str">
            <v>Dependent field</v>
          </cell>
          <cell r="CA11" t="str">
            <v>Dependent field</v>
          </cell>
          <cell r="CB11" t="str">
            <v>Dependent field</v>
          </cell>
          <cell r="CC11" t="str">
            <v>Dependent field</v>
          </cell>
          <cell r="CD11" t="str">
            <v>Dependent field</v>
          </cell>
          <cell r="CE11" t="str">
            <v>Dependent field</v>
          </cell>
          <cell r="CF11" t="str">
            <v>Dependent field</v>
          </cell>
          <cell r="CG11" t="str">
            <v>Dependent field</v>
          </cell>
          <cell r="CH11" t="str">
            <v>Dependent field</v>
          </cell>
          <cell r="CI11" t="str">
            <v>Dependent field</v>
          </cell>
          <cell r="CJ11" t="str">
            <v>Dependent field</v>
          </cell>
          <cell r="CK11" t="str">
            <v>Dependent field</v>
          </cell>
          <cell r="CL11" t="str">
            <v>Dependent field</v>
          </cell>
          <cell r="CM11" t="str">
            <v>Dependent field</v>
          </cell>
          <cell r="CN11" t="str">
            <v>Dependent field</v>
          </cell>
          <cell r="CO11" t="str">
            <v>Mandatory field</v>
          </cell>
          <cell r="CP11" t="str">
            <v>Mandatory field
If "Y", please fill in the following fields (grey column headers), too.</v>
          </cell>
          <cell r="CQ11" t="str">
            <v>Dependent field</v>
          </cell>
          <cell r="CR11" t="str">
            <v>Dependent field</v>
          </cell>
          <cell r="CS11" t="str">
            <v>Dependent field</v>
          </cell>
          <cell r="CT11" t="str">
            <v>Mandatory field
If "Y", please fill in the following fields (grey column headers), too.</v>
          </cell>
          <cell r="CU11" t="str">
            <v>Dependent field</v>
          </cell>
          <cell r="CV11" t="str">
            <v>Dependent field</v>
          </cell>
          <cell r="CW11" t="str">
            <v>Dependent field</v>
          </cell>
          <cell r="CX11" t="str">
            <v>Dependent field</v>
          </cell>
          <cell r="CY11" t="str">
            <v>Dependent field</v>
          </cell>
          <cell r="CZ11" t="str">
            <v>Dependent field</v>
          </cell>
          <cell r="DA11" t="str">
            <v>Dependent field</v>
          </cell>
          <cell r="DB11" t="str">
            <v>Mandatory field
If "Y", please fill in the following field (grey column header), too.</v>
          </cell>
          <cell r="DC11" t="str">
            <v>Dependent field</v>
          </cell>
          <cell r="DD11" t="str">
            <v>Mandatory field
If "Y", please fill in the following fields (grey column headers), too.</v>
          </cell>
          <cell r="DE11" t="str">
            <v>Dependent field</v>
          </cell>
          <cell r="DF11" t="str">
            <v>Dependent field</v>
          </cell>
          <cell r="DG11" t="str">
            <v>Mandatory field
If "Y", please fill in the following fields (grey column headers), too.</v>
          </cell>
          <cell r="DH11" t="str">
            <v>Dependent field</v>
          </cell>
          <cell r="DI11" t="str">
            <v>Dependent field</v>
          </cell>
          <cell r="DJ11" t="str">
            <v>Dependent field</v>
          </cell>
          <cell r="DK11" t="str">
            <v>Dependent field</v>
          </cell>
          <cell r="DL11" t="str">
            <v>Mandatory field
If "Y", please fill in the following fields (grey column headers), too.</v>
          </cell>
          <cell r="DM11" t="str">
            <v>Dependent field</v>
          </cell>
          <cell r="DN11" t="str">
            <v>Dependent field</v>
          </cell>
          <cell r="DO11" t="str">
            <v>Dependent field</v>
          </cell>
          <cell r="DP11" t="str">
            <v>Dependent field</v>
          </cell>
          <cell r="DQ11" t="str">
            <v>Mandatory field
 Please fill in the following fields (grey column headers) if the answer is "N" or if the item is also approved for sale outside of Germany.</v>
          </cell>
          <cell r="DR11" t="str">
            <v>Dependent field</v>
          </cell>
          <cell r="DS11" t="str">
            <v>Dependent field</v>
          </cell>
          <cell r="DT11" t="str">
            <v>Dependent field</v>
          </cell>
          <cell r="DU11" t="str">
            <v>Dependent field</v>
          </cell>
          <cell r="DV11" t="str">
            <v>Dependent field</v>
          </cell>
          <cell r="DW11" t="str">
            <v>Dependent field</v>
          </cell>
          <cell r="DX11" t="str">
            <v>Dependent field</v>
          </cell>
          <cell r="DY11" t="str">
            <v>Dependent field</v>
          </cell>
          <cell r="DZ11" t="str">
            <v>Dependent field</v>
          </cell>
          <cell r="EA11" t="str">
            <v>Dependent field</v>
          </cell>
          <cell r="EB11" t="str">
            <v>Dependent field</v>
          </cell>
          <cell r="EC11" t="str">
            <v>Dependent field</v>
          </cell>
          <cell r="ED11" t="str">
            <v>Dependent field</v>
          </cell>
          <cell r="EE11" t="str">
            <v>Dependent field</v>
          </cell>
          <cell r="EF11" t="str">
            <v>Dependent field</v>
          </cell>
          <cell r="EG11" t="str">
            <v>Dependent field</v>
          </cell>
          <cell r="EH11" t="str">
            <v>Dependent field</v>
          </cell>
          <cell r="EI11" t="str">
            <v>Dependent field</v>
          </cell>
          <cell r="EJ11" t="str">
            <v>Dependent field</v>
          </cell>
          <cell r="EK11" t="str">
            <v>Dependent field</v>
          </cell>
          <cell r="EL11" t="str">
            <v>Dependent field</v>
          </cell>
          <cell r="EM11" t="str">
            <v>Mandatory field</v>
          </cell>
          <cell r="EN11" t="str">
            <v>Mandatory field</v>
          </cell>
          <cell r="EO11" t="str">
            <v>Mandatory field</v>
          </cell>
          <cell r="EP11" t="str">
            <v>Mandatory field</v>
          </cell>
          <cell r="EQ11" t="str">
            <v>Mandatory field</v>
          </cell>
          <cell r="ER11" t="str">
            <v>Mandatory field</v>
          </cell>
          <cell r="ES11" t="str">
            <v>Mandatory field</v>
          </cell>
          <cell r="ET11" t="str">
            <v>Mandatory field
If "Y", please fill in the following fields (grey column headers), too.</v>
          </cell>
          <cell r="EU11" t="str">
            <v>Dependent field</v>
          </cell>
          <cell r="EV11" t="str">
            <v>Dependent field</v>
          </cell>
          <cell r="EW11" t="str">
            <v>Dependent field</v>
          </cell>
          <cell r="EX11" t="str">
            <v>Dependent field</v>
          </cell>
          <cell r="EY11" t="str">
            <v>Dependent field</v>
          </cell>
          <cell r="EZ11" t="str">
            <v>Dependent field</v>
          </cell>
          <cell r="FA11" t="str">
            <v>Dependent field</v>
          </cell>
          <cell r="FB11" t="str">
            <v>Mandatory field
If "Y", please fill in the following fields (grey column headers), too.</v>
          </cell>
          <cell r="FC11" t="str">
            <v>Dependent field</v>
          </cell>
          <cell r="FD11" t="str">
            <v>Dependent field</v>
          </cell>
          <cell r="FE11" t="str">
            <v>Dependent field</v>
          </cell>
          <cell r="FF11" t="str">
            <v>Mandatory field</v>
          </cell>
          <cell r="FG11" t="str">
            <v>Mandatory field</v>
          </cell>
          <cell r="FH11" t="str">
            <v>Mandatory field</v>
          </cell>
          <cell r="FI11" t="str">
            <v>Mandatory field</v>
          </cell>
          <cell r="FJ11" t="str">
            <v>Mandatory field</v>
          </cell>
          <cell r="FK11" t="str">
            <v>optional field</v>
          </cell>
          <cell r="FL11" t="str">
            <v>Dependent field</v>
          </cell>
          <cell r="FM11" t="str">
            <v>Mandatory field</v>
          </cell>
          <cell r="FN11" t="str">
            <v>Mandatory field
Please list special features/information on item. In case of attachments, please enter file names in the following fields (grey column headers).</v>
          </cell>
          <cell r="FO11" t="str">
            <v>Dependent field</v>
          </cell>
          <cell r="FP11" t="str">
            <v>Abbreviations for attachment types: safety data sheet = SD; picture = BD; product description = PB; bill of material = SL; medicinal product information = AF; declaration of conformity = KM</v>
          </cell>
          <cell r="FQ11" t="str">
            <v>Dependent field</v>
          </cell>
          <cell r="FR11" t="str">
            <v>Dependent field</v>
          </cell>
          <cell r="FS11" t="str">
            <v>Dependent field</v>
          </cell>
          <cell r="FT11" t="str">
            <v>Mandatory field</v>
          </cell>
          <cell r="FU11" t="str">
            <v>Dependent field</v>
          </cell>
          <cell r="FV11" t="str">
            <v>Mandatory field 
If "Y", please fill in the following fields (grey column headers), too.</v>
          </cell>
          <cell r="FW11" t="str">
            <v>Dependent field</v>
          </cell>
          <cell r="FX11" t="str">
            <v>Mandatory field 
If "Y", please list all relevant MSDS in 47.1 and give the name of the bill of material / product description  in 47.3</v>
          </cell>
          <cell r="FY11" t="str">
            <v>Dependent field</v>
          </cell>
          <cell r="FZ11" t="str">
            <v>Dependent field</v>
          </cell>
          <cell r="GA11" t="str">
            <v>Dependent field</v>
          </cell>
          <cell r="GB11" t="str">
            <v>Dependent field</v>
          </cell>
        </row>
        <row r="12">
          <cell r="CN12" t="str">
            <v xml:space="preserve"> </v>
          </cell>
        </row>
        <row r="13">
          <cell r="CN13" t="str">
            <v xml:space="preserve"> 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aterialstamm@dental-union.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Materialstamm@dental-union.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terialstamm@dental-union.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aterialstamm@dental-union.d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zoomScale="110" zoomScaleNormal="110" workbookViewId="0">
      <selection activeCell="S66" sqref="S66"/>
    </sheetView>
  </sheetViews>
  <sheetFormatPr baseColWidth="10" defaultColWidth="11.44140625" defaultRowHeight="14.4" x14ac:dyDescent="0.3"/>
  <sheetData/>
  <pageMargins left="0.25" right="0.25" top="0.75" bottom="0.75" header="0.3" footer="0.3"/>
  <pageSetup paperSize="9" scale="78" fitToHeight="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"/>
  <sheetViews>
    <sheetView zoomScale="60" zoomScaleNormal="60" workbookViewId="0">
      <selection activeCell="A114" sqref="A114"/>
    </sheetView>
  </sheetViews>
  <sheetFormatPr baseColWidth="10" defaultColWidth="11.44140625" defaultRowHeight="14.4" x14ac:dyDescent="0.3"/>
  <sheetData/>
  <pageMargins left="0.25" right="0.25" top="0.75" bottom="0.75" header="0.3" footer="0.3"/>
  <pageSetup paperSize="9" scale="61" fitToHeight="3" orientation="landscape" r:id="rId1"/>
  <headerFooter>
    <oddFooter>&amp;C&amp;F&amp;R&amp;A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C2:J23"/>
  <sheetViews>
    <sheetView topLeftCell="C1" zoomScale="80" zoomScaleNormal="80" workbookViewId="0">
      <selection activeCell="H9" sqref="H9"/>
    </sheetView>
  </sheetViews>
  <sheetFormatPr baseColWidth="10" defaultColWidth="11.44140625" defaultRowHeight="18" x14ac:dyDescent="0.3"/>
  <cols>
    <col min="1" max="1" width="5.5546875" customWidth="1"/>
    <col min="2" max="2" width="4.109375" customWidth="1"/>
    <col min="3" max="3" width="6.44140625" customWidth="1"/>
    <col min="4" max="4" width="11.44140625" style="38"/>
    <col min="5" max="5" width="11.44140625" style="26"/>
    <col min="6" max="6" width="23.109375" style="38" customWidth="1"/>
    <col min="8" max="8" width="14.109375" customWidth="1"/>
    <col min="10" max="10" width="42" customWidth="1"/>
    <col min="11" max="11" width="3" customWidth="1"/>
  </cols>
  <sheetData>
    <row r="2" spans="3:10" ht="36.75" customHeight="1" x14ac:dyDescent="0.3">
      <c r="C2" s="49"/>
      <c r="D2" s="56"/>
      <c r="E2" s="54"/>
      <c r="F2" s="56"/>
      <c r="G2" s="51" t="str">
        <f>IF($H$8=2,Header_Data!D7,Header_Data!D2)</f>
        <v>Artikelpass BVD für Lieferanten</v>
      </c>
      <c r="H2" s="49"/>
      <c r="I2" s="49"/>
      <c r="J2" s="49"/>
    </row>
    <row r="4" spans="3:10" x14ac:dyDescent="0.3">
      <c r="F4" s="64" t="s">
        <v>0</v>
      </c>
      <c r="G4" s="65"/>
      <c r="H4" s="66"/>
      <c r="J4" s="67" t="s">
        <v>1</v>
      </c>
    </row>
    <row r="5" spans="3:10" x14ac:dyDescent="0.3">
      <c r="F5" s="68"/>
      <c r="J5" s="68"/>
    </row>
    <row r="6" spans="3:10" ht="42.75" customHeight="1" thickBot="1" x14ac:dyDescent="0.35">
      <c r="H6" s="41" t="str">
        <f>IF($H$8=1,"Gewählte Sprache",IF($H$8=2,"Language selected",""))</f>
        <v>Gewählte Sprache</v>
      </c>
      <c r="J6" s="41" t="str">
        <f>IF($H$8=1,"Bitte wechseln zu Blatt",IF($H$8=2,"Please change to sheet",""))</f>
        <v>Bitte wechseln zu Blatt</v>
      </c>
    </row>
    <row r="7" spans="3:10" ht="18.600000000000001" thickBot="1" x14ac:dyDescent="0.35">
      <c r="C7" s="37"/>
      <c r="D7" s="38" t="s">
        <v>2</v>
      </c>
      <c r="F7" s="39" t="s">
        <v>3</v>
      </c>
    </row>
    <row r="8" spans="3:10" ht="19.2" thickTop="1" thickBot="1" x14ac:dyDescent="0.35">
      <c r="H8" s="48">
        <v>1</v>
      </c>
    </row>
    <row r="9" spans="3:10" ht="19.2" thickTop="1" thickBot="1" x14ac:dyDescent="0.35">
      <c r="C9" s="37"/>
      <c r="D9" s="38" t="s">
        <v>4</v>
      </c>
      <c r="F9" s="39" t="s">
        <v>5</v>
      </c>
    </row>
    <row r="10" spans="3:10" ht="29.4" thickBot="1" x14ac:dyDescent="0.35">
      <c r="H10" s="47" t="str">
        <f>IF($H$8=1,D7,IF($H$8=2,D9,0))</f>
        <v>Deutsch</v>
      </c>
      <c r="J10" s="102" t="s">
        <v>661</v>
      </c>
    </row>
    <row r="11" spans="3:10" ht="18.600000000000001" thickBot="1" x14ac:dyDescent="0.35">
      <c r="C11" s="37"/>
      <c r="D11" s="38" t="s">
        <v>6</v>
      </c>
      <c r="F11" s="38" t="s">
        <v>7</v>
      </c>
    </row>
    <row r="12" spans="3:10" ht="18.600000000000001" thickBot="1" x14ac:dyDescent="0.35">
      <c r="J12" s="40"/>
    </row>
    <row r="13" spans="3:10" ht="18.600000000000001" thickBot="1" x14ac:dyDescent="0.35">
      <c r="C13" s="37"/>
      <c r="D13" s="38" t="s">
        <v>8</v>
      </c>
      <c r="F13" s="38" t="s">
        <v>9</v>
      </c>
    </row>
    <row r="14" spans="3:10" ht="18.600000000000001" thickBot="1" x14ac:dyDescent="0.35"/>
    <row r="15" spans="3:10" ht="18.600000000000001" thickBot="1" x14ac:dyDescent="0.35">
      <c r="C15" s="37"/>
      <c r="D15" s="38" t="s">
        <v>10</v>
      </c>
      <c r="F15" s="38" t="s">
        <v>11</v>
      </c>
    </row>
    <row r="18" spans="8:8" ht="36" x14ac:dyDescent="0.3">
      <c r="H18" s="41" t="str">
        <f>IF($H$8=1,"Zeilen-selektor",IF($H$8=2,"row selector",""))</f>
        <v>Zeilen-selektor</v>
      </c>
    </row>
    <row r="19" spans="8:8" ht="18.600000000000001" thickBot="1" x14ac:dyDescent="0.35"/>
    <row r="20" spans="8:8" x14ac:dyDescent="0.3">
      <c r="H20" s="42">
        <f>IF($H$8=1,11,IF($H$8=2,21,0))</f>
        <v>11</v>
      </c>
    </row>
    <row r="21" spans="8:8" x14ac:dyDescent="0.3">
      <c r="H21" s="43">
        <f>IF($H$8=1,12,IF($H$8=2,22,0))</f>
        <v>12</v>
      </c>
    </row>
    <row r="22" spans="8:8" x14ac:dyDescent="0.3">
      <c r="H22" s="43">
        <f>IF($H$8=1,13,IF($H$8=2,23,0))</f>
        <v>13</v>
      </c>
    </row>
    <row r="23" spans="8:8" ht="18.600000000000001" thickBot="1" x14ac:dyDescent="0.35">
      <c r="H23" s="44">
        <f>IF($H$8=1,14,IF($H$8=2,24,0))</f>
        <v>14</v>
      </c>
    </row>
  </sheetData>
  <conditionalFormatting sqref="H6">
    <cfRule type="cellIs" dxfId="14" priority="12" operator="equal">
      <formula>""</formula>
    </cfRule>
    <cfRule type="cellIs" dxfId="13" priority="14" operator="equal">
      <formula>_xludf.OR("Gewählte Sprache;language selected")</formula>
    </cfRule>
  </conditionalFormatting>
  <conditionalFormatting sqref="H8">
    <cfRule type="cellIs" dxfId="12" priority="15" operator="equal">
      <formula>0</formula>
    </cfRule>
    <cfRule type="cellIs" dxfId="11" priority="16" stopIfTrue="1" operator="notEqual">
      <formula>_xludf.OR(0,1,2)</formula>
    </cfRule>
    <cfRule type="cellIs" dxfId="10" priority="17" stopIfTrue="1" operator="equal">
      <formula>1</formula>
    </cfRule>
    <cfRule type="cellIs" dxfId="9" priority="18" stopIfTrue="1" operator="greaterThan">
      <formula>2</formula>
    </cfRule>
    <cfRule type="cellIs" dxfId="8" priority="19" stopIfTrue="1" operator="equal">
      <formula>2</formula>
    </cfRule>
  </conditionalFormatting>
  <conditionalFormatting sqref="H10">
    <cfRule type="cellIs" dxfId="7" priority="3" operator="equal">
      <formula>""</formula>
    </cfRule>
    <cfRule type="cellIs" dxfId="6" priority="4" operator="equal">
      <formula>_xludf.OR("Gewählte Sprache;language selected")</formula>
    </cfRule>
  </conditionalFormatting>
  <conditionalFormatting sqref="H18">
    <cfRule type="cellIs" dxfId="5" priority="7" operator="equal">
      <formula>""</formula>
    </cfRule>
    <cfRule type="cellIs" dxfId="4" priority="8" operator="equal">
      <formula>_xludf.OR("Gewählte Sprache;language selected")</formula>
    </cfRule>
  </conditionalFormatting>
  <conditionalFormatting sqref="H20:H23">
    <cfRule type="cellIs" dxfId="3" priority="5" operator="equal">
      <formula>""</formula>
    </cfRule>
    <cfRule type="cellIs" dxfId="2" priority="6" operator="equal">
      <formula>_xludf.OR("Gewählte Sprache;language selected")</formula>
    </cfRule>
  </conditionalFormatting>
  <conditionalFormatting sqref="J6">
    <cfRule type="cellIs" dxfId="1" priority="1" operator="equal">
      <formula>""</formula>
    </cfRule>
    <cfRule type="cellIs" dxfId="0" priority="2" operator="equal">
      <formula>_xludf.OR("Gewählte Sprache;language selected")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4928-4274-426D-A77E-F71785008736}">
  <dimension ref="A1:GC10"/>
  <sheetViews>
    <sheetView zoomScale="80" zoomScaleNormal="80" workbookViewId="0">
      <pane ySplit="5" topLeftCell="A6" activePane="bottomLeft" state="frozen"/>
      <selection activeCell="A2" sqref="A2"/>
      <selection pane="bottomLeft" activeCell="N10" sqref="N10"/>
    </sheetView>
  </sheetViews>
  <sheetFormatPr baseColWidth="10" defaultColWidth="11.44140625" defaultRowHeight="14.4" outlineLevelRow="1" x14ac:dyDescent="0.3"/>
  <cols>
    <col min="1" max="1" width="12.44140625" style="106" customWidth="1"/>
    <col min="2" max="4" width="9.44140625" style="106" customWidth="1"/>
    <col min="5" max="5" width="12.5546875" style="106" customWidth="1"/>
    <col min="6" max="6" width="21.44140625" style="106" customWidth="1"/>
    <col min="7" max="9" width="13.88671875" style="106" customWidth="1"/>
    <col min="10" max="10" width="19.109375" style="106" customWidth="1"/>
    <col min="11" max="11" width="19" style="106" customWidth="1"/>
    <col min="12" max="13" width="13.88671875" style="106" customWidth="1"/>
    <col min="14" max="18" width="11.5546875" style="106" customWidth="1"/>
    <col min="19" max="19" width="21.5546875" style="106" customWidth="1"/>
    <col min="20" max="20" width="21.5546875" style="106" hidden="1" customWidth="1"/>
    <col min="21" max="21" width="21.5546875" style="106" customWidth="1"/>
    <col min="22" max="22" width="19.109375" style="106" customWidth="1"/>
    <col min="23" max="29" width="13.88671875" style="106" customWidth="1"/>
    <col min="30" max="30" width="9.5546875" style="106" customWidth="1"/>
    <col min="31" max="31" width="13.88671875" style="106" customWidth="1"/>
    <col min="32" max="32" width="16.88671875" style="106" customWidth="1"/>
    <col min="33" max="33" width="13.88671875" style="106" customWidth="1"/>
    <col min="34" max="34" width="15.5546875" style="106" customWidth="1"/>
    <col min="35" max="35" width="8.5546875" style="106" customWidth="1" collapsed="1"/>
    <col min="36" max="36" width="8.5546875" style="106" customWidth="1"/>
    <col min="37" max="38" width="8.5546875" style="106" hidden="1" customWidth="1"/>
    <col min="39" max="39" width="19" style="106" customWidth="1"/>
    <col min="40" max="40" width="13.88671875" style="106" customWidth="1"/>
    <col min="41" max="41" width="24" style="106" customWidth="1"/>
    <col min="42" max="45" width="10.109375" style="106" customWidth="1"/>
    <col min="46" max="47" width="13.88671875" style="106" customWidth="1"/>
    <col min="48" max="48" width="19" style="106" customWidth="1"/>
    <col min="49" max="59" width="13.88671875" style="106" customWidth="1"/>
    <col min="60" max="69" width="13.88671875" style="106" hidden="1" customWidth="1"/>
    <col min="70" max="70" width="11.44140625" style="106" customWidth="1"/>
    <col min="71" max="71" width="24" style="106" customWidth="1"/>
    <col min="72" max="73" width="13.88671875" style="106" customWidth="1"/>
    <col min="74" max="74" width="16.5546875" style="106" customWidth="1"/>
    <col min="75" max="77" width="13.88671875" style="106" customWidth="1"/>
    <col min="78" max="78" width="9.5546875" style="106" customWidth="1"/>
    <col min="79" max="81" width="13.88671875" style="106" customWidth="1"/>
    <col min="82" max="82" width="15" style="106" customWidth="1"/>
    <col min="83" max="91" width="13.88671875" style="106" customWidth="1"/>
    <col min="92" max="92" width="14.44140625" style="106" customWidth="1"/>
    <col min="93" max="93" width="18.5546875" style="106" customWidth="1" collapsed="1"/>
    <col min="94" max="96" width="13.88671875" style="106" customWidth="1"/>
    <col min="97" max="119" width="13.88671875" style="106" hidden="1" customWidth="1"/>
    <col min="120" max="120" width="29.88671875" style="106" customWidth="1"/>
    <col min="121" max="121" width="9.109375" style="106" customWidth="1"/>
    <col min="122" max="123" width="9.5546875" style="106" customWidth="1"/>
    <col min="124" max="124" width="7.109375" style="106" customWidth="1"/>
    <col min="125" max="126" width="9.5546875" style="106" customWidth="1"/>
    <col min="127" max="127" width="13.88671875" style="106" customWidth="1"/>
    <col min="128" max="130" width="9.5546875" style="106" customWidth="1"/>
    <col min="131" max="131" width="7.109375" style="106" customWidth="1"/>
    <col min="132" max="133" width="9.5546875" style="106" customWidth="1"/>
    <col min="134" max="134" width="13.88671875" style="106" customWidth="1"/>
    <col min="135" max="135" width="6.109375" style="106" customWidth="1"/>
    <col min="136" max="137" width="9.5546875" style="106" customWidth="1"/>
    <col min="138" max="138" width="7.109375" style="106" customWidth="1"/>
    <col min="139" max="140" width="9.5546875" style="106" customWidth="1"/>
    <col min="141" max="141" width="13.88671875" style="106" customWidth="1"/>
    <col min="142" max="142" width="10.88671875" style="106" customWidth="1"/>
    <col min="143" max="143" width="12.5546875" style="106" customWidth="1"/>
    <col min="144" max="148" width="10.88671875" style="106" customWidth="1"/>
    <col min="149" max="149" width="19" style="106" customWidth="1"/>
    <col min="150" max="151" width="13.88671875" style="106" customWidth="1"/>
    <col min="152" max="154" width="8.109375" style="106" customWidth="1"/>
    <col min="155" max="156" width="13.88671875" style="106" customWidth="1"/>
    <col min="157" max="157" width="16.5546875" style="106" customWidth="1"/>
    <col min="158" max="159" width="13.88671875" style="106" customWidth="1"/>
    <col min="160" max="160" width="9.5546875" style="106" customWidth="1"/>
    <col min="161" max="161" width="12.44140625" style="106" customWidth="1"/>
    <col min="162" max="162" width="12.44140625" style="106" hidden="1" customWidth="1"/>
    <col min="163" max="166" width="8.5546875" style="106" customWidth="1"/>
    <col min="167" max="167" width="13.88671875" style="106" customWidth="1"/>
    <col min="168" max="168" width="8.5546875" style="106" customWidth="1" collapsed="1"/>
    <col min="169" max="169" width="33" style="106" customWidth="1"/>
    <col min="170" max="173" width="13.88671875" style="106" customWidth="1"/>
    <col min="174" max="174" width="13.88671875" style="106" hidden="1" customWidth="1"/>
    <col min="175" max="175" width="13.44140625" style="106" customWidth="1"/>
    <col min="176" max="176" width="13.88671875" style="106" customWidth="1"/>
    <col min="177" max="179" width="11.44140625" style="106" customWidth="1"/>
    <col min="180" max="185" width="11.44140625" style="106" hidden="1" customWidth="1"/>
    <col min="186" max="16384" width="11.44140625" style="106"/>
  </cols>
  <sheetData>
    <row r="1" spans="1:185" s="168" customFormat="1" ht="17.25" customHeight="1" x14ac:dyDescent="0.3">
      <c r="A1" s="167">
        <v>1</v>
      </c>
      <c r="B1" s="167">
        <v>2</v>
      </c>
      <c r="C1" s="167">
        <v>3</v>
      </c>
      <c r="D1" s="167">
        <v>4</v>
      </c>
      <c r="E1" s="167">
        <v>5</v>
      </c>
      <c r="F1" s="167">
        <v>6</v>
      </c>
      <c r="G1" s="167">
        <v>7</v>
      </c>
      <c r="H1" s="167">
        <v>8</v>
      </c>
      <c r="I1" s="167">
        <v>9</v>
      </c>
      <c r="J1" s="167">
        <v>10</v>
      </c>
      <c r="K1" s="167">
        <v>11</v>
      </c>
      <c r="L1" s="167">
        <v>12</v>
      </c>
      <c r="M1" s="167">
        <v>13</v>
      </c>
      <c r="N1" s="167">
        <v>14</v>
      </c>
      <c r="O1" s="167">
        <v>15</v>
      </c>
      <c r="P1" s="167">
        <v>16</v>
      </c>
      <c r="Q1" s="167">
        <v>17</v>
      </c>
      <c r="R1" s="167">
        <v>18</v>
      </c>
      <c r="S1" s="167">
        <v>19</v>
      </c>
      <c r="T1" s="167">
        <v>20</v>
      </c>
      <c r="U1" s="167">
        <v>21</v>
      </c>
      <c r="V1" s="167">
        <v>22</v>
      </c>
      <c r="W1" s="167">
        <v>23</v>
      </c>
      <c r="X1" s="167">
        <v>24</v>
      </c>
      <c r="Y1" s="167">
        <v>25</v>
      </c>
      <c r="Z1" s="167">
        <v>26</v>
      </c>
      <c r="AA1" s="167">
        <v>27</v>
      </c>
      <c r="AB1" s="167">
        <v>28</v>
      </c>
      <c r="AC1" s="167">
        <v>29</v>
      </c>
      <c r="AD1" s="167">
        <v>30</v>
      </c>
      <c r="AE1" s="167">
        <v>31</v>
      </c>
      <c r="AF1" s="167">
        <v>32</v>
      </c>
      <c r="AG1" s="167">
        <v>33</v>
      </c>
      <c r="AH1" s="167">
        <v>34</v>
      </c>
      <c r="AI1" s="167">
        <v>35</v>
      </c>
      <c r="AJ1" s="167">
        <v>36</v>
      </c>
      <c r="AK1" s="167">
        <v>37</v>
      </c>
      <c r="AL1" s="167">
        <v>38</v>
      </c>
      <c r="AM1" s="167">
        <v>39</v>
      </c>
      <c r="AN1" s="167">
        <v>40</v>
      </c>
      <c r="AO1" s="167">
        <v>41</v>
      </c>
      <c r="AP1" s="167">
        <v>42</v>
      </c>
      <c r="AQ1" s="167">
        <v>43</v>
      </c>
      <c r="AR1" s="167">
        <v>44</v>
      </c>
      <c r="AS1" s="167">
        <v>45</v>
      </c>
      <c r="AT1" s="167">
        <v>46</v>
      </c>
      <c r="AU1" s="167">
        <v>47</v>
      </c>
      <c r="AV1" s="167">
        <v>48</v>
      </c>
      <c r="AW1" s="167">
        <v>49</v>
      </c>
      <c r="AX1" s="167">
        <v>50</v>
      </c>
      <c r="AY1" s="167">
        <v>51</v>
      </c>
      <c r="AZ1" s="167">
        <v>52</v>
      </c>
      <c r="BA1" s="167">
        <v>53</v>
      </c>
      <c r="BB1" s="167">
        <v>54</v>
      </c>
      <c r="BC1" s="167">
        <v>55</v>
      </c>
      <c r="BD1" s="167">
        <v>56</v>
      </c>
      <c r="BE1" s="167">
        <v>57</v>
      </c>
      <c r="BF1" s="167">
        <v>58</v>
      </c>
      <c r="BG1" s="167">
        <v>59</v>
      </c>
      <c r="BH1" s="167">
        <v>60</v>
      </c>
      <c r="BI1" s="167">
        <v>61</v>
      </c>
      <c r="BJ1" s="167">
        <v>62</v>
      </c>
      <c r="BK1" s="167">
        <v>63</v>
      </c>
      <c r="BL1" s="167">
        <v>64</v>
      </c>
      <c r="BM1" s="167">
        <v>65</v>
      </c>
      <c r="BN1" s="167">
        <v>66</v>
      </c>
      <c r="BO1" s="167">
        <v>67</v>
      </c>
      <c r="BP1" s="167">
        <v>68</v>
      </c>
      <c r="BQ1" s="167">
        <v>69</v>
      </c>
      <c r="BR1" s="167">
        <v>70</v>
      </c>
      <c r="BS1" s="167">
        <v>71</v>
      </c>
      <c r="BT1" s="167">
        <v>72</v>
      </c>
      <c r="BU1" s="167">
        <v>73</v>
      </c>
      <c r="BV1" s="167">
        <v>74</v>
      </c>
      <c r="BW1" s="167">
        <v>75</v>
      </c>
      <c r="BX1" s="167">
        <v>76</v>
      </c>
      <c r="BY1" s="167">
        <v>77</v>
      </c>
      <c r="BZ1" s="167">
        <v>78</v>
      </c>
      <c r="CA1" s="167">
        <v>79</v>
      </c>
      <c r="CB1" s="167">
        <v>80</v>
      </c>
      <c r="CC1" s="167">
        <v>81</v>
      </c>
      <c r="CD1" s="167">
        <v>82</v>
      </c>
      <c r="CE1" s="167">
        <v>83</v>
      </c>
      <c r="CF1" s="167">
        <v>84</v>
      </c>
      <c r="CG1" s="167">
        <v>85</v>
      </c>
      <c r="CH1" s="167">
        <v>86</v>
      </c>
      <c r="CI1" s="167">
        <v>87</v>
      </c>
      <c r="CJ1" s="167">
        <v>88</v>
      </c>
      <c r="CK1" s="167">
        <v>89</v>
      </c>
      <c r="CL1" s="167">
        <v>90</v>
      </c>
      <c r="CM1" s="167">
        <v>91</v>
      </c>
      <c r="CN1" s="167">
        <v>92</v>
      </c>
      <c r="CO1" s="167">
        <v>93</v>
      </c>
      <c r="CP1" s="167">
        <v>94</v>
      </c>
      <c r="CQ1" s="167">
        <v>95</v>
      </c>
      <c r="CR1" s="167">
        <v>96</v>
      </c>
      <c r="CS1" s="167">
        <v>97</v>
      </c>
      <c r="CT1" s="167">
        <v>98</v>
      </c>
      <c r="CU1" s="167">
        <v>99</v>
      </c>
      <c r="CV1" s="167">
        <v>100</v>
      </c>
      <c r="CW1" s="167">
        <v>101</v>
      </c>
      <c r="CX1" s="167">
        <v>102</v>
      </c>
      <c r="CY1" s="167">
        <v>103</v>
      </c>
      <c r="CZ1" s="167">
        <v>104</v>
      </c>
      <c r="DA1" s="167">
        <v>105</v>
      </c>
      <c r="DB1" s="167">
        <v>106</v>
      </c>
      <c r="DC1" s="167">
        <v>107</v>
      </c>
      <c r="DD1" s="167">
        <v>108</v>
      </c>
      <c r="DE1" s="167">
        <v>109</v>
      </c>
      <c r="DF1" s="167">
        <v>110</v>
      </c>
      <c r="DG1" s="167">
        <v>111</v>
      </c>
      <c r="DH1" s="167">
        <v>112</v>
      </c>
      <c r="DI1" s="167">
        <v>113</v>
      </c>
      <c r="DJ1" s="167">
        <v>114</v>
      </c>
      <c r="DK1" s="167">
        <v>115</v>
      </c>
      <c r="DL1" s="167">
        <v>116</v>
      </c>
      <c r="DM1" s="167">
        <v>117</v>
      </c>
      <c r="DN1" s="167">
        <v>118</v>
      </c>
      <c r="DO1" s="167">
        <v>119</v>
      </c>
      <c r="DP1" s="167">
        <v>120</v>
      </c>
      <c r="DQ1" s="167">
        <v>121</v>
      </c>
      <c r="DR1" s="167">
        <v>122</v>
      </c>
      <c r="DS1" s="167">
        <v>123</v>
      </c>
      <c r="DT1" s="167">
        <v>124</v>
      </c>
      <c r="DU1" s="167">
        <v>125</v>
      </c>
      <c r="DV1" s="167">
        <v>126</v>
      </c>
      <c r="DW1" s="167">
        <v>127</v>
      </c>
      <c r="DX1" s="167">
        <v>128</v>
      </c>
      <c r="DY1" s="167">
        <v>129</v>
      </c>
      <c r="DZ1" s="167">
        <v>130</v>
      </c>
      <c r="EA1" s="167">
        <v>131</v>
      </c>
      <c r="EB1" s="167">
        <v>132</v>
      </c>
      <c r="EC1" s="167">
        <v>133</v>
      </c>
      <c r="ED1" s="167">
        <v>134</v>
      </c>
      <c r="EE1" s="167">
        <v>135</v>
      </c>
      <c r="EF1" s="167">
        <v>136</v>
      </c>
      <c r="EG1" s="167">
        <v>137</v>
      </c>
      <c r="EH1" s="167">
        <v>138</v>
      </c>
      <c r="EI1" s="167">
        <v>139</v>
      </c>
      <c r="EJ1" s="167">
        <v>140</v>
      </c>
      <c r="EK1" s="167">
        <v>141</v>
      </c>
      <c r="EL1" s="167">
        <v>142</v>
      </c>
      <c r="EM1" s="167">
        <v>143</v>
      </c>
      <c r="EN1" s="167">
        <v>144</v>
      </c>
      <c r="EO1" s="167">
        <v>145</v>
      </c>
      <c r="EP1" s="167">
        <v>146</v>
      </c>
      <c r="EQ1" s="167">
        <v>147</v>
      </c>
      <c r="ER1" s="167">
        <v>148</v>
      </c>
      <c r="ES1" s="167">
        <v>149</v>
      </c>
      <c r="ET1" s="167">
        <v>150</v>
      </c>
      <c r="EU1" s="167">
        <v>151</v>
      </c>
      <c r="EV1" s="167">
        <v>152</v>
      </c>
      <c r="EW1" s="167">
        <v>153</v>
      </c>
      <c r="EX1" s="167">
        <v>154</v>
      </c>
      <c r="EY1" s="167">
        <v>155</v>
      </c>
      <c r="EZ1" s="167">
        <v>156</v>
      </c>
      <c r="FA1" s="167">
        <v>157</v>
      </c>
      <c r="FB1" s="167">
        <v>158</v>
      </c>
      <c r="FC1" s="167">
        <v>159</v>
      </c>
      <c r="FD1" s="167">
        <v>160</v>
      </c>
      <c r="FE1" s="167">
        <v>161</v>
      </c>
      <c r="FF1" s="167">
        <v>162</v>
      </c>
      <c r="FG1" s="167">
        <v>163</v>
      </c>
      <c r="FH1" s="167">
        <v>164</v>
      </c>
      <c r="FI1" s="167">
        <v>165</v>
      </c>
      <c r="FJ1" s="167">
        <v>166</v>
      </c>
      <c r="FK1" s="167">
        <v>167</v>
      </c>
      <c r="FL1" s="167">
        <v>168</v>
      </c>
      <c r="FM1" s="167">
        <v>169</v>
      </c>
      <c r="FN1" s="167">
        <v>170</v>
      </c>
      <c r="FO1" s="167">
        <v>171</v>
      </c>
      <c r="FP1" s="167">
        <v>172</v>
      </c>
      <c r="FQ1" s="167">
        <v>173</v>
      </c>
      <c r="FR1" s="167">
        <v>174</v>
      </c>
      <c r="FS1" s="167">
        <v>175</v>
      </c>
      <c r="FT1" s="167">
        <v>176</v>
      </c>
      <c r="FU1" s="167">
        <v>177</v>
      </c>
      <c r="FV1" s="167">
        <v>178</v>
      </c>
      <c r="FW1" s="167">
        <v>179</v>
      </c>
      <c r="FX1" s="167">
        <v>180</v>
      </c>
      <c r="FY1" s="167">
        <v>181</v>
      </c>
      <c r="FZ1" s="168">
        <v>182</v>
      </c>
      <c r="GA1" s="168">
        <v>183</v>
      </c>
      <c r="GB1" s="168">
        <v>184</v>
      </c>
      <c r="GC1" s="168">
        <v>185</v>
      </c>
    </row>
    <row r="2" spans="1:185" s="189" customFormat="1" ht="103.5" customHeight="1" x14ac:dyDescent="0.3">
      <c r="A2" s="169" t="str">
        <f>VLOOKUP(Start!$H$20,Header_Data!$A3:$GZ32,2,FALSE)</f>
        <v>1. Steuerzeichen, neuer Artikel beginnt</v>
      </c>
      <c r="B2" s="170" t="str">
        <f>VLOOKUP(Start!$H$20,Header_Data!$A3:$GZ32,3,FALSE)</f>
        <v>2. Ansprechpartner</v>
      </c>
      <c r="C2" s="171"/>
      <c r="D2" s="171"/>
      <c r="E2" s="170" t="str">
        <f>VLOOKUP(Start!$H$20,Header_Data!$A3:$GZ32,6,FALSE)</f>
        <v>3. Datum der Gültigkeit des Artikeldatensatzes</v>
      </c>
      <c r="F2" s="170" t="str">
        <f>VLOOKUP(Start!$H$20,Header_Data!$A3:$GZ32,7,FALSE)</f>
        <v>4. Status</v>
      </c>
      <c r="G2" s="169" t="str">
        <f>VLOOKUP(Start!$H$20,Header_Data!$A3:$GZ32,8,FALSE)</f>
        <v xml:space="preserve">4.1. Exakte Lieferanten-Artikelnummer des Vorgängerartikels </v>
      </c>
      <c r="H2" s="169" t="str">
        <f>VLOOKUP(Start!$H$20,Header_Data!$A3:$GZ32,9,FALSE)</f>
        <v>4.2. Artikelveröffentlichung zugelassen ab</v>
      </c>
      <c r="I2" s="169" t="str">
        <f>VLOOKUP(Start!$H$20,Header_Data!$A3:$GZ32,10,FALSE)</f>
        <v>4.3. Artikel lieferbar ab</v>
      </c>
      <c r="J2" s="169" t="str">
        <f>VLOOKUP(Start!$H$20,Header_Data!$A3:$GZ32,11,FALSE)</f>
        <v>4.4. Verpackungsart des Artikels?</v>
      </c>
      <c r="K2" s="170" t="str">
        <f>VLOOKUP(Start!$H$20,Header_Data!$A3:$GZ32,12,FALSE)</f>
        <v>5. Auslaufartikel</v>
      </c>
      <c r="L2" s="169" t="str">
        <f>VLOOKUP(Start!$H$20,Header_Data!$A3:$GZ32,13,FALSE)</f>
        <v>5.1. Auslaufartikel lieferbar bis</v>
      </c>
      <c r="M2" s="169" t="str">
        <f>VLOOKUP(Start!$H$20,Header_Data!$A3:$GZ32,14,FALSE)</f>
        <v>5.2. Exakte Lieferanten-Artikelnummer des Alternativartikels</v>
      </c>
      <c r="N2" s="170" t="str">
        <f>VLOOKUP(Start!$H$20,Header_Data!$A3:$GZ32,15,FALSE)</f>
        <v>6. Lieferantenname</v>
      </c>
      <c r="O2" s="170" t="str">
        <f>VLOOKUP(Start!$H$20,Header_Data!$A3:$GZ32,16,FALSE)</f>
        <v>7. Exakte Lieferanten-Artikelnummer</v>
      </c>
      <c r="P2" s="170" t="str">
        <f>VLOOKUP(Start!$H$20,Header_Data!$A3:$GZ32,17,FALSE)</f>
        <v>8. Exakte Artikelbezeichnung</v>
      </c>
      <c r="Q2" s="170" t="str">
        <f>VLOOKUP(Start!$H$20,Header_Data!$A3:$GZ32,18,FALSE)</f>
        <v>9. Herstellername</v>
      </c>
      <c r="R2" s="170" t="str">
        <f>VLOOKUP(Start!$H$20,Header_Data!$A3:$GZ32,19,FALSE)</f>
        <v>10. Exakte Hersteller-Artikelnummer</v>
      </c>
      <c r="S2" s="170" t="str">
        <f>VLOOKUP(Start!$H$20,Header_Data!$A3:$GZ32,20,FALSE)</f>
        <v>11. Produktzulassung zum Vertrieb gemäß den einschlägigen gesetzlichen oder behördlichen Bestimmungen besteht für folgende Länder:</v>
      </c>
      <c r="T2" s="170" t="str">
        <f>VLOOKUP([1]Start!$H$20,[1]Header_Data!$A3:$GZ32,21,FALSE)</f>
        <v>12. CE-Kennzeichnung auf dem Produkt vorhanden [innen (i), außen (o)]?</v>
      </c>
      <c r="U2" s="170" t="str">
        <f>VLOOKUP(Start!$H$20,Header_Data!$A3:$GZ32,22,FALSE)</f>
        <v>13. Hat das Produkt einen Barcode/UDI-DI?</v>
      </c>
      <c r="V2" s="169" t="str">
        <f>VLOOKUP(Start!$H$20,Header_Data!$A3:$GZ32,23,FALSE)</f>
        <v>13.1.1. GTIN / EAN - kleinste Verkaufseinheit
(Global Trade Item Number / European Article Number)</v>
      </c>
      <c r="W2" s="169" t="str">
        <f>VLOOKUP(Start!$H$20,Header_Data!$A3:$GZ32,24,FALSE)</f>
        <v>13.1.2. GTIN / EAN - Pack
(Global Trade Item Number / European Article Number)</v>
      </c>
      <c r="X2" s="169" t="str">
        <f>VLOOKUP(Start!$H$20,Header_Data!$A3:$GZ32,25,FALSE)</f>
        <v>13.1.3. GTIN / EAN - Karton
(Global Trade Item Number / European Article Number)</v>
      </c>
      <c r="Y2" s="169" t="str">
        <f>VLOOKUP(Start!$H$20,Header_Data!$A3:$GZ32,26,FALSE)</f>
        <v>13.1.4. GTIN / EAN - Palette
(Global Trade Item Number / European Article Number)</v>
      </c>
      <c r="Z2" s="169" t="str">
        <f>VLOOKUP(Start!$H$20,Header_Data!$A3:$GZ32,27,FALSE)</f>
        <v>13.2.1 HIBC - Kleinste Verkaufseinheit
(Health Industry Bar Code)</v>
      </c>
      <c r="AA2" s="169" t="str">
        <f>VLOOKUP(Start!$H$20,Header_Data!$A3:$GZ32,28,FALSE)</f>
        <v>13.2.2 HIBC - Pack
(Health Industry Bar Code)</v>
      </c>
      <c r="AB2" s="169" t="str">
        <f>VLOOKUP(Start!$H$20,Header_Data!$A3:$GZ32,29,FALSE)</f>
        <v>13.2.3 HIBC - Karton
(Health Industry Bar Code)</v>
      </c>
      <c r="AC2" s="169" t="str">
        <f>VLOOKUP(Start!$H$20,Header_Data!$A3:$GZ32,30,FALSE)</f>
        <v>13.2.4 HIBC - Palette
(Health Industry Bar Code)</v>
      </c>
      <c r="AD2" s="169" t="str">
        <f>VLOOKUP(Start!$H$20,Header_Data!$A3:$GZ32,31,FALSE)</f>
        <v>13.3. PPN (Pharmacy Product Number)</v>
      </c>
      <c r="AE2" s="169" t="str">
        <f>VLOOKUP(Start!$H$20,Header_Data!$A3:$GZ32,32,FALSE)</f>
        <v>13.4. PZN DE (Pharmazentralnummer)</v>
      </c>
      <c r="AF2" s="170" t="str">
        <f>VLOOKUP(Start!$H$20,Header_Data!$A3:$GZ32,33,FALSE)</f>
        <v>14. eCl@ss-Code</v>
      </c>
      <c r="AG2" s="169" t="str">
        <f>VLOOKUP(Start!$H$20,Header_Data!$A3:$GZ32,34,FALSE)</f>
        <v>14.1. eCl@ss-Version</v>
      </c>
      <c r="AH2" s="170" t="str">
        <f>VLOOKUP(Start!$H$20,Header_Data!$A3:$GZ32,35,FALSE)</f>
        <v>15. In welchem Medizinbereich erfolgt die Anwendung des Artikels?</v>
      </c>
      <c r="AI2" s="170" t="str">
        <f>VLOOKUP(Start!$H$20,Header_Data!$A3:$GZ32,36,FALSE)</f>
        <v>16. Einsatzort des Produktes</v>
      </c>
      <c r="AJ2" s="170" t="str">
        <f>VLOOKUP(Start!$H$20,Header_Data!$A3:$GZ32,37,FALSE)</f>
        <v>17. Ist Artikel ein Steril-Produkt?</v>
      </c>
      <c r="AK2" s="170" t="str">
        <f>VLOOKUP([1]Start!$H$20,[1]Header_Data!$A3:$GZ32,38,FALSE)</f>
        <v>18. Etikett/Produktverpackung ist sprachneutral
(nur Eigenname und Piktogramme angedruckt)</v>
      </c>
      <c r="AL2" s="169" t="str">
        <f>VLOOKUP([1]Start!$H$20,[1]Header_Data!$A3:$GZ32,39,FALSE)</f>
        <v>18.1. Folgende Sprachen werden auf dem Etikett/Produktverpackung verwendet</v>
      </c>
      <c r="AM2" s="170" t="str">
        <f>VLOOKUP(Start!$H$20,Header_Data!$A3:$GZ32,40,FALSE)</f>
        <v>19. Wird eine Gebrauchsanweisung benötigt?</v>
      </c>
      <c r="AN2" s="169" t="str">
        <f>VLOOKUP(Start!$H$20,Header_Data!$A3:$GZ32,41,FALSE)</f>
        <v>19.1. Folgende Sprachen sind in der Gebrauchsanweisung enthalten:</v>
      </c>
      <c r="AO2" s="170" t="str">
        <f>VLOOKUP(Start!$H$20,Header_Data!$A3:$GZ32,42,FALSE)</f>
        <v>20. Hat der Artikel hat eine Beschränkung in den Lager- und Transporttemperaturen?</v>
      </c>
      <c r="AP2" s="172" t="str">
        <f>VLOOKUP(Start!$H$20,Header_Data!$A3:$GZ32,43,FALSE)</f>
        <v>20.1. Lagertemperatur</v>
      </c>
      <c r="AQ2" s="173"/>
      <c r="AR2" s="172" t="str">
        <f>VLOOKUP(Start!$H$20,Header_Data!$A3:$GZ32,45,FALSE)</f>
        <v>20.2. Transporttemperatur</v>
      </c>
      <c r="AS2" s="173"/>
      <c r="AT2" s="169" t="str">
        <f>VLOOKUP(Start!$H$20,Header_Data!$A3:$GZ32,47,FALSE)</f>
        <v>20.3. Maximal zulässige Dauer der Transporttemperatur</v>
      </c>
      <c r="AU2" s="169" t="str">
        <f>VLOOKUP(Start!$H$20,Header_Data!$A3:$GZ32,48,FALSE)</f>
        <v>20.4. Artikel ist frostempfindlich</v>
      </c>
      <c r="AV2" s="170" t="str">
        <f>VLOOKUP(Start!$H$20,Header_Data!$A3:$GZ32,49,FALSE)</f>
        <v>21. Ist der Artikel ein Arzneimittel?</v>
      </c>
      <c r="AW2" s="169" t="str">
        <f>VLOOKUP(Start!$H$20,Header_Data!$A3:$GZ32,50,FALSE)</f>
        <v xml:space="preserve">21.1. Artikel ist ein Betäubungsmittel? </v>
      </c>
      <c r="AX2" s="169" t="str">
        <f>VLOOKUP(Start!$H$20,Header_Data!$A3:$GZ32,51,FALSE)</f>
        <v>21.2. Artikel ist ein Fertigarzneimittel?</v>
      </c>
      <c r="AY2" s="169" t="str">
        <f>VLOOKUP(Start!$H$20,Header_Data!$A3:$GZ32,52,FALSE)</f>
        <v>21.3. Artikel dient zum Ersatz oder zur Korrektur von Körperflüssigkeiten?</v>
      </c>
      <c r="AZ2" s="169" t="str">
        <f>VLOOKUP(Start!$H$20,Header_Data!$A3:$GZ32,53,FALSE)</f>
        <v>21.4. Artikel ist nur zur Anwendung in der Zahnheilkunde?</v>
      </c>
      <c r="BA2" s="169" t="str">
        <f>VLOOKUP(Start!$H$20,Header_Data!$A3:$GZ32,54,FALSE)</f>
        <v>21.5. Artikel ist apothekenpflichtig?</v>
      </c>
      <c r="BB2" s="169" t="str">
        <f>VLOOKUP(Start!$H$20,Header_Data!$A3:$GZ32,55,FALSE)</f>
        <v>21.6. Artikel ist verschreibungs- pflichtig?</v>
      </c>
      <c r="BC2" s="169" t="str">
        <f>VLOOKUP(Start!$H$20,Header_Data!$A3:$GZ32,56,FALSE)</f>
        <v>21.7. Artikel ist freiverkäuflich?</v>
      </c>
      <c r="BD2" s="169" t="str">
        <f>VLOOKUP(Start!$H$20,Header_Data!$A3:$GZ32,57,FALSE)</f>
        <v>21.8. Produkt unterliegt dem GKV-WSG vom 01.04.2007?
(Gesetz zur Stärkung des Wettbewerbs in der gesetzlichen Krankenversicherung)</v>
      </c>
      <c r="BE2" s="169" t="str">
        <f>VLOOKUP(Start!$H$20,Header_Data!$A3:$GZ32,58,FALSE)</f>
        <v>21.9. Vertrieb nur an Personen mit humanmedizinischer Grundausbildung?</v>
      </c>
      <c r="BF2" s="169" t="str">
        <f>VLOOKUP(Start!$H$20,Header_Data!$A3:$GZ32,59,FALSE)</f>
        <v>21.10. Arzneimittel ist für folgende Länder zugelassen:</v>
      </c>
      <c r="BG2" s="169" t="str">
        <f>VLOOKUP(Start!$H$20,Header_Data!$A3:$GZ32,60,FALSE)</f>
        <v xml:space="preserve">21.11. Zulassungsnummer des Arzneimittels </v>
      </c>
      <c r="BH2" s="170" t="str">
        <f>VLOOKUP([1]Start!$H$20,[1]Header_Data!$A3:$GZ32,61,FALSE)</f>
        <v>22. Artikel ist ein Medizinprodukt?</v>
      </c>
      <c r="BI2" s="169" t="str">
        <f>VLOOKUP([1]Start!$H$20,[1]Header_Data!$A3:$GZ32,62,FALSE)</f>
        <v xml:space="preserve">22.1. Klasse des Medizinproduktes </v>
      </c>
      <c r="BJ2" s="169" t="str">
        <f>VLOOKUP([1]Start!$H$20,[1]Header_Data!$A3:$GZ32,63,FALSE)</f>
        <v>22.2. Produkt fällt unter die MPAV?
(Medizinprodukte-Abgabeverordnung)</v>
      </c>
      <c r="BK2" s="169" t="str">
        <f>VLOOKUP([1]Start!$H$20,[1]Header_Data!$A3:$GZ32,64,FALSE)</f>
        <v>22.3. Produkt ist Verbrauchsmaterial als Sprechstundenbedarf? 
(nur Fluoridierungsprodukte)</v>
      </c>
      <c r="BL2" s="170" t="str">
        <f>VLOOKUP([1]Start!$H$20,[1]Header_Data!$A3:$GZ32,65,FALSE)</f>
        <v>23. Artikel ist ein Ersatzteil?</v>
      </c>
      <c r="BM2" s="169" t="str">
        <f>VLOOKUP([1]Start!$H$20,[1]Header_Data!$A3:$GZ32,66,FALSE)</f>
        <v xml:space="preserve">23.1. Rücksendepflichtiger Reparatur-Austausch ? </v>
      </c>
      <c r="BN2" s="170" t="str">
        <f>VLOOKUP([1]Start!$H$20,[1]Header_Data!$A3:$GZ32,67,FALSE)</f>
        <v>24. Artikel ist ein Biozid?</v>
      </c>
      <c r="BO2" s="169" t="str">
        <f>VLOOKUP([1]Start!$H$20,[1]Header_Data!$A3:$GZ32,68,FALSE)</f>
        <v>24.1 BAUA-Registriernummer
(Bundesanstalt für Arbeitsschutz und Arbeitsmedizin)</v>
      </c>
      <c r="BP2" s="170" t="str">
        <f>VLOOKUP([1]Start!$H$20,[1]Header_Data!$A3:$GZ32,69,FALSE)</f>
        <v>25. Artikel ist ein Lebensmittel?</v>
      </c>
      <c r="BQ2" s="170" t="str">
        <f>VLOOKUP([1]Start!$H$20,[1]Header_Data!$A3:$GZ32,70,FALSE)</f>
        <v>26. Artikel ist ein Kosmetikprodukt?</v>
      </c>
      <c r="BR2" s="170" t="str">
        <f>VLOOKUP(Start!$H$20,Header_Data!$A3:$GZ32,71,FALSE)</f>
        <v>27. VOC-Gehalt angeben
(Flüchtige Organische Verbindungen)</v>
      </c>
      <c r="BS2" s="170" t="str">
        <f>VLOOKUP(Start!$H$20,Header_Data!$A3:$GZ32,72,FALSE)</f>
        <v>28. Sicherheitsdatenblatt (SDB) vorhanden?</v>
      </c>
      <c r="BT2" s="169" t="str">
        <f>VLOOKUP(Start!$H$20,Header_Data!$A3:$GZ32,73,FALSE)</f>
        <v xml:space="preserve">28.1. Aktuelles Überarbeitungsdatum des Sicherheitsdatenblattes </v>
      </c>
      <c r="BU2" s="169" t="str">
        <f>VLOOKUP(Start!$H$20,Header_Data!$A3:$GZ32,74,FALSE)</f>
        <v>28.2. Artikel fällt unter die Chemikalien- Verbotsverordnung (ChemVerbotsV)?</v>
      </c>
      <c r="BV2" s="170" t="str">
        <f>VLOOKUP(Start!$H$20,Header_Data!$A3:$GZ32,75,FALSE)</f>
        <v xml:space="preserve">29. Artikel ist ein Gefahrgut? </v>
      </c>
      <c r="BW2" s="169" t="str">
        <f>VLOOKUP(Start!$H$20,Header_Data!$A3:$GZ32,76,FALSE)</f>
        <v>29.1. Artikel fällt unter Limited Quantity (LQ, Begrenzte Menge)</v>
      </c>
      <c r="BX2" s="169" t="str">
        <f>VLOOKUP(Start!$H$20,Header_Data!$A3:$GZ32,77,FALSE)</f>
        <v>29.2. Gefahrgutklasse nach ADR</v>
      </c>
      <c r="BY2" s="169" t="str">
        <f>VLOOKUP(Start!$H$20,Header_Data!$A3:$GZ32,78,FALSE)</f>
        <v>29.3. Benennung und Beschreibung lt. ADR-Tabelle</v>
      </c>
      <c r="BZ2" s="169" t="str">
        <f>VLOOKUP(Start!$H$20,Header_Data!$A3:$GZ32,79,FALSE)</f>
        <v xml:space="preserve">29.4. UN-Nummer </v>
      </c>
      <c r="CA2" s="169" t="str">
        <f>VLOOKUP(Start!$H$20,Header_Data!$A3:$GZ32,80,FALSE)</f>
        <v>29.5. Nummer zur Kennzeichnung der Gefahr</v>
      </c>
      <c r="CB2" s="169" t="str">
        <f>VLOOKUP(Start!$H$20,Header_Data!$A3:$GZ32,81,FALSE)</f>
        <v>29.6. Beförderungs- kategorie</v>
      </c>
      <c r="CC2" s="169" t="str">
        <f>VLOOKUP(Start!$H$20,Header_Data!$A3:$GZ32,82,FALSE)</f>
        <v>29.7. Verpackungs- gruppe</v>
      </c>
      <c r="CD2" s="169" t="str">
        <f>VLOOKUP(Start!$H$20,Header_Data!$A3:$GZ32,83,FALSE)</f>
        <v>29.8. Abfallschlüssel (für Produkt)</v>
      </c>
      <c r="CE2" s="169" t="str">
        <f>VLOOKUP(Start!$H$20,Header_Data!$A3:$GZ32,84,FALSE)</f>
        <v>29.9. Lagerklasse</v>
      </c>
      <c r="CF2" s="169" t="str">
        <f>VLOOKUP(Start!$H$20,Header_Data!$A3:$GZ32,85,FALSE)</f>
        <v>29.10. Klassifizierungscode</v>
      </c>
      <c r="CG2" s="169" t="str">
        <f>VLOOKUP(Start!$H$20,Header_Data!$A3:$GZ32,86,FALSE)</f>
        <v>29.11. Tunnelbeschränkungs- code</v>
      </c>
      <c r="CH2" s="169" t="str">
        <f>VLOOKUP(Start!$H$20,Header_Data!$A3:$GZ32,87,FALSE)</f>
        <v>29.12. Gefahrzettel</v>
      </c>
      <c r="CI2" s="169" t="str">
        <f>VLOOKUP(Start!$H$20,Header_Data!$A3:$GZ32,88,FALSE)</f>
        <v>29.13. Inhalt pro Innenverpackung</v>
      </c>
      <c r="CJ2" s="169" t="str">
        <f>VLOOKUP(Start!$H$20,Header_Data!$A3:$GZ32,89,FALSE)</f>
        <v>29.14. Verpackungsart</v>
      </c>
      <c r="CK2" s="169" t="str">
        <f>VLOOKUP(Start!$H$20,Header_Data!$A3:$GZ32,90,FALSE)</f>
        <v>29.15. Umwelt- gefährdung</v>
      </c>
      <c r="CL2" s="169" t="str">
        <f>VLOOKUP(Start!$H$20,Header_Data!$A3:$GZ32,91,FALSE)</f>
        <v>29.16. Wassergefährdungsklasse (WGK) in DE</v>
      </c>
      <c r="CM2" s="169" t="str">
        <f>VLOOKUP(Start!$H$20,Header_Data!$A3:$GZ32,92,FALSE)</f>
        <v>29.17. Produkt enthält per- oder teilfluorierte Kohlenwasserstoffe (FKW und HFKW)</v>
      </c>
      <c r="CN2" s="170" t="str">
        <f>VLOOKUP(Start!$H$20,Header_Data!$A3:$GZ32,93,FALSE)</f>
        <v>30. Verpackung hat eine von außen deutlich erkennbare Chargenkennzeichnung/LOT?</v>
      </c>
      <c r="CO2" s="170" t="str">
        <f>VLOOKUP(Start!$H$20,Header_Data!$A3:$GZ32,94,FALSE)</f>
        <v>31. Artikel hat eine Verfallszeit?</v>
      </c>
      <c r="CP2" s="169" t="str">
        <f>VLOOKUP(Start!$H$20,Header_Data!$A3:$GZ32,95,FALSE)</f>
        <v>31.1. Verpackung hat ein von außen deutlich erkennbares Verfalldatum?</v>
      </c>
      <c r="CQ2" s="169" t="str">
        <f>VLOOKUP(Start!$H$20,Header_Data!$A3:$GZ32,96,FALSE)</f>
        <v>31.2. Verwendungszeit nach Anbruch auf der Verpackung angedruckt?</v>
      </c>
      <c r="CR2" s="169" t="str">
        <f>VLOOKUP(Start!$H$20,Header_Data!$A3:$GZ32,97,FALSE)</f>
        <v>31.3. Verpackung hat ein von außen deutlich erkennbares Herstelldatum?</v>
      </c>
      <c r="CS2" s="170" t="str">
        <f>VLOOKUP([1]Start!$H$20,[1]Header_Data!$A3:$GZ32,98,FALSE)</f>
        <v>32. Artikel ist ein Gerät?</v>
      </c>
      <c r="CT2" s="174" t="str">
        <f>VLOOKUP([1]Start!$H$20,[1]Header_Data!$A3:$GZ32,99,FALSE)</f>
        <v>32.1. Exakte Maße des Gerätes (ohne Umverpackung)</v>
      </c>
      <c r="CU2" s="175"/>
      <c r="CV2" s="176"/>
      <c r="CW2" s="169" t="str">
        <f>VLOOKUP([1]Start!$H$20,[1]Header_Data!$A3:$GZ32,102,FALSE)</f>
        <v>32.2. Fassungsvermögen des Gerätes?</v>
      </c>
      <c r="CX2" s="169" t="str">
        <f>VLOOKUP([1]Start!$H$20,[1]Header_Data!$A3:$GZ32,103,FALSE)</f>
        <v>32.3. Anwendungs-temperatur?</v>
      </c>
      <c r="CY2" s="169" t="str">
        <f>VLOOKUP([1]Start!$H$20,[1]Header_Data!$A3:$GZ32,104,FALSE)</f>
        <v>32.4. Leistung?</v>
      </c>
      <c r="CZ2" s="169" t="str">
        <f>VLOOKUP([1]Start!$H$20,[1]Header_Data!$A3:$GZ32,105,FALSE)</f>
        <v>32.5. Techniker ist zur Installation notwendig?</v>
      </c>
      <c r="DA2" s="177"/>
      <c r="DB2" s="169" t="str">
        <f>VLOOKUP([1]Start!$H$20,[1]Header_Data!$A3:$GZ32,107,FALSE)</f>
        <v>32.6.1. Anzahl der angedruckten Serialnummern
(Z. B. in einem Set)?</v>
      </c>
      <c r="DC2" s="177" t="s">
        <v>38</v>
      </c>
      <c r="DD2" s="169" t="str">
        <f>VLOOKUP([1]Start!$H$20,[1]Header_Data!$A3:$GZ32,109,FALSE)</f>
        <v>32.7.1. Artikel ist in Europa nach ElektroG (WEEE) registriert?</v>
      </c>
      <c r="DE2" s="169" t="str">
        <f>VLOOKUP([1]Start!$H$20,[1]Header_Data!$A3:$GZ32,110,FALSE)</f>
        <v>32.7.2. Artikel ist registrierungspflichtig nach ElektroG (WEEE)?</v>
      </c>
      <c r="DF2" s="177"/>
      <c r="DG2" s="169" t="str">
        <f>VLOOKUP([1]Start!$H$20,[1]Header_Data!$A3:$GZ32,112,FALSE)</f>
        <v>32.8.1. Artikel ist in Deutschland nach dem BattG registriert?</v>
      </c>
      <c r="DH2" s="169" t="str">
        <f>VLOOKUP([1]Start!$H$20,[1]Header_Data!$A3:$GZ32,113,FALSE)</f>
        <v>32.8.2. Batterie-/Akkutyp:</v>
      </c>
      <c r="DI2" s="169" t="str">
        <f>VLOOKUP([1]Start!$H$20,[1]Header_Data!$A3:$GZ32,114,FALSE)</f>
        <v>32.8.3. Anzahl der Batterien/ Akkus:</v>
      </c>
      <c r="DJ2" s="169" t="str">
        <f>VLOOKUP([1]Start!$H$20,[1]Header_Data!$A3:$GZ32,115,FALSE)</f>
        <v>32.8.4. Batterien/ Akkus sind fest verbaut?</v>
      </c>
      <c r="DK2" s="170" t="str">
        <f>VLOOKUP([1]Start!$H$20,[1]Header_Data!$A3:$GZ32,116,FALSE)</f>
        <v>33. Artikel hat Garantie oder Gewährleistung?</v>
      </c>
      <c r="DL2" s="169" t="str">
        <f>VLOOKUP([1]Start!$H$20,[1]Header_Data!$A3:$GZ32,117,FALSE)</f>
        <v>33.1. Gewährleistungsdauer nach Lieferung an Handel:</v>
      </c>
      <c r="DM2" s="169" t="str">
        <f>VLOOKUP([1]Start!$H$20,[1]Header_Data!$A3:$GZ32,118,FALSE)</f>
        <v>33.2. Gewährleistungsdauer nach Lieferung an unseren Kunden:</v>
      </c>
      <c r="DN2" s="169" t="str">
        <f>VLOOKUP([1]Start!$H$20,[1]Header_Data!$A3:$GZ32,119,FALSE)</f>
        <v>33.3. Garantiedauer ab Lieferung an den Handel</v>
      </c>
      <c r="DO2" s="169" t="str">
        <f>VLOOKUP([1]Start!$H$20,[1]Header_Data!$A3:$GZ32,120,FALSE)</f>
        <v>33.4. Garantiedauer nach Lieferung an unseren Kunden</v>
      </c>
      <c r="DP2" s="170" t="str">
        <f>VLOOKUP(Start!$H$20,Header_Data!$A3:$GZ32,121,FALSE)</f>
        <v>34. Verkaufsverpackung ist durch ein Duales System in Deutschland lizensiert?</v>
      </c>
      <c r="DQ2" s="178" t="str">
        <f>VLOOKUP(Start!$H$20,Header_Data!$A3:$GZ32,122,FALSE)</f>
        <v xml:space="preserve">34.1. Verpackungsgewicht der restentleerten Produktverpackung (Primärverpackung) </v>
      </c>
      <c r="DR2" s="179"/>
      <c r="DS2" s="179"/>
      <c r="DT2" s="179"/>
      <c r="DU2" s="179"/>
      <c r="DV2" s="180"/>
      <c r="DW2" s="169" t="str">
        <f>VLOOKUP(Start!$H$20,Header_Data!$A3:$GZ32,128,FALSE)</f>
        <v>34.2. restentleerte Produktverpackung darf über ein Duales System entsorgt werden?</v>
      </c>
      <c r="DX2" s="178" t="str">
        <f>VLOOKUP(Start!$H$20,Header_Data!$A3:$GZ32,129,FALSE)</f>
        <v>34.3. Verpackungsgewicht der Einzelverpackung (Sekundärverpackung)</v>
      </c>
      <c r="DY2" s="179"/>
      <c r="DZ2" s="179"/>
      <c r="EA2" s="179"/>
      <c r="EB2" s="179"/>
      <c r="EC2" s="180"/>
      <c r="ED2" s="169" t="str">
        <f>VLOOKUP(Start!$H$20,Header_Data!$A3:$GZ32,135,FALSE)</f>
        <v>34.4. Einzelverpackung darf über ein Duales System entsorgt werden?</v>
      </c>
      <c r="EE2" s="178" t="str">
        <f>VLOOKUP(Start!$H$20,Header_Data!$A3:$GZ32,136,FALSE)</f>
        <v xml:space="preserve">34.5. Verpackungsgewicht der Groß-/Bulkverpackung inkl. Füllmaterial (Tertiärverpackung) </v>
      </c>
      <c r="EF2" s="179"/>
      <c r="EG2" s="179"/>
      <c r="EH2" s="179"/>
      <c r="EI2" s="179"/>
      <c r="EJ2" s="180"/>
      <c r="EK2" s="169" t="str">
        <f>VLOOKUP(Start!$H$20,Header_Data!$A3:$GZ32,142,FALSE)</f>
        <v>34.6. Groß-/Bulkverpackung darf über ein Duales System entsorgt werden ?</v>
      </c>
      <c r="EL2" s="170" t="str">
        <f>VLOOKUP(Start!$H$20,Header_Data!$A3:$GZ32,143,FALSE)</f>
        <v>35. Mindest-bestellmenge</v>
      </c>
      <c r="EM2" s="170" t="str">
        <f>VLOOKUP(Start!$H$20,Header_Data!$A3:$GZ32,144,FALSE)</f>
        <v>36. Inhalt pro Einzelverpackung</v>
      </c>
      <c r="EN2" s="181" t="str">
        <f>VLOOKUP(Start!$H$20,Header_Data!$A3:$GZ32,145,FALSE)</f>
        <v>37. Größe und Gewicht der Einzelverpackung</v>
      </c>
      <c r="EO2" s="182"/>
      <c r="EP2" s="182"/>
      <c r="EQ2" s="182"/>
      <c r="ER2" s="183"/>
      <c r="ES2" s="170" t="str">
        <f>VLOOKUP(Start!$H$20,Header_Data!$A3:$GZ32,150,FALSE)</f>
        <v>38. Artikel hat eine Umverpackung?</v>
      </c>
      <c r="ET2" s="169" t="str">
        <f>VLOOKUP(Start!$H$20,Header_Data!$A3:$GZ32,151,FALSE)</f>
        <v>38.1. Umverpackung darf geöffnet und der Artikel ohne diese versendet werden?</v>
      </c>
      <c r="EU2" s="184" t="str">
        <f>VLOOKUP(Start!$H$20,Header_Data!$A3:$GZ32,152,FALSE)</f>
        <v>38.2. Anzahl der Einzelpackungen pro Umverpackung</v>
      </c>
      <c r="EV2" s="185" t="str">
        <f>VLOOKUP(Start!$H$20,Header_Data!$A3:$GZ32,153,FALSE)</f>
        <v>38.3. Größe und Gewicht der Umverpackung inkl. der Einzelpackungen</v>
      </c>
      <c r="EW2" s="186"/>
      <c r="EX2" s="186"/>
      <c r="EY2" s="186"/>
      <c r="EZ2" s="187"/>
      <c r="FA2" s="170" t="str">
        <f>VLOOKUP(Start!$H$20,Header_Data!$A3:$GZ32,158,FALSE)</f>
        <v>39. Gibt es Konfektionierungs-hinweise zu beachten?</v>
      </c>
      <c r="FB2" s="184" t="str">
        <f>VLOOKUP(Start!$H$20,Header_Data!$A3:$GZ32,159,FALSE)</f>
        <v>39.1. Konfektionierungs-hinweise aufführen</v>
      </c>
      <c r="FC2" s="184" t="str">
        <f>VLOOKUP(Start!$H$20,Header_Data!$A3:$GZ32,160,FALSE)</f>
        <v>39.2. Anzahl Artikel pro Palette</v>
      </c>
      <c r="FD2" s="184" t="str">
        <f>VLOOKUP(Start!$H$20,Header_Data!$A3:$GZ32,161,FALSE)</f>
        <v>39.3. Palettenhöhe</v>
      </c>
      <c r="FE2" s="170" t="str">
        <f>VLOOKUP(Start!$H$20,Header_Data!$A3:$GZ32,162,FALSE)</f>
        <v>40. Zolltarif-Nr. / Warentarifnr.
(8-11-stellig)</v>
      </c>
      <c r="FF2" s="170" t="str">
        <f>VLOOKUP([1]Start!$H$20,[1]Header_Data!$A3:$GZ32,163,FALSE)</f>
        <v>41. Dual-Use-Artikel?
(Nach EG-Dual-Use Verordnung)</v>
      </c>
      <c r="FG2" s="170" t="str">
        <f>VLOOKUP(Start!$H$20,Header_Data!$A3:$GZ32,164,FALSE)</f>
        <v>42. Ursprungsland</v>
      </c>
      <c r="FH2" s="170" t="str">
        <f>VLOOKUP(Start!$H$20,Header_Data!$A3:$GZ32,165,FALSE)</f>
        <v>43. Ursprungs-bundesland/-provinz (falls zutreffend)</v>
      </c>
      <c r="FI2" s="170" t="str">
        <f>VLOOKUP(Start!$H$20,Header_Data!$A3:$GZ32,166,FALSE)</f>
        <v>44. Artikel mit Präferenzursprungs-eigenschaft? (nur anwendbar innerhalb EU)</v>
      </c>
      <c r="FJ2" s="184" t="str">
        <f>VLOOKUP(Start!$H$20,Header_Data!$A3:$GZ32,167,FALSE)</f>
        <v>45. Unverbindliche Preisempfehlung</v>
      </c>
      <c r="FK2" s="184" t="str">
        <f>VLOOKUP(Start!$H$20,Header_Data!$A3:$GZ32,168,FALSE)</f>
        <v>45.1. Rabattgruppe (Zahn, Material, ...)</v>
      </c>
      <c r="FL2" s="170" t="str">
        <f>VLOOKUP(Start!$H$20,Header_Data!$A3:$GZ32,169,FALSE)</f>
        <v>46. Mehrwertsteuersatz für DE (voll oder verringert)</v>
      </c>
      <c r="FM2" s="170" t="str">
        <f>VLOOKUP(Start!$H$20,Header_Data!$A3:$GZ32,170,FALSE)</f>
        <v>47. Besonderheiten und sonstige weitere Informationen zum Artikel aufführen bzw. anhängen</v>
      </c>
      <c r="FN2" s="188" t="str">
        <f>VLOOKUP(Start!$H$20,Header_Data!$A3:$GZ32,171,FALSE)</f>
        <v>47.1. Dateiname des Sicherheitsdatenblattes
(SD)</v>
      </c>
      <c r="FO2" s="188" t="str">
        <f>VLOOKUP(Start!$H$20,Header_Data!$A3:$GZ32,172,FALSE)</f>
        <v>47.2. Dateiname des Bildes 
(BD)</v>
      </c>
      <c r="FP2" s="188" t="str">
        <f>VLOOKUP(Start!$H$20,Header_Data!$A3:$GZ32,173,FALSE)</f>
        <v>47.3. Dateiname der Produktbeschreibung (PB) oder Stückliste (SL)</v>
      </c>
      <c r="FQ2" s="188" t="str">
        <f>VLOOKUP(Start!$H$20,Header_Data!$A3:$GZ32,174,FALSE)</f>
        <v>47.4. Dateiname der Arzneimittel-Fachinformation
(AF)</v>
      </c>
      <c r="FR2" s="188" t="str">
        <f>VLOOKUP([1]Start!$H$20,[1]Header_Data!$A3:$GZ32,175,FALSE)</f>
        <v>47.5. Dateiname der Konformitätserklärung für Medizinprodukte 
(KM)</v>
      </c>
      <c r="FS2" s="170" t="str">
        <f>VLOOKUP(Start!$H$20,Header_Data!$A3:$GZ32,176,FALSE)</f>
        <v>48. Exklusivartikel</v>
      </c>
      <c r="FT2" s="184" t="str">
        <f>VLOOKUP(Start!$H$20,Header_Data!$A3:$GZ32,177,FALSE)</f>
        <v>48.1. Exklusivartikel 
(berechtigte Händler)</v>
      </c>
      <c r="FU2" s="170" t="str">
        <f>VLOOKUP([1]Start!$H$20,[1]Header_Data!$A3:$GZ32,178,FALSE)</f>
        <v>49. Artikel unterliegt der Verordnung (EU) 2016/425 über Persönliche Schutzausrüstung?</v>
      </c>
      <c r="FV2" s="184" t="str">
        <f>VLOOKUP([1]Start!$H$20,[1]Header_Data!$A3:$GZ32,179,FALSE)</f>
        <v xml:space="preserve">49.1. Kategorie der Persönlichen Schutzausrüstung </v>
      </c>
      <c r="FW2" s="170" t="str">
        <f>VLOOKUP([1]Start!$H$20,[1]Header_Data!$A3:$GZ32,180,FALSE)</f>
        <v>50. Ist Artikel ein Set?</v>
      </c>
      <c r="FX2" s="184" t="s">
        <v>662</v>
      </c>
      <c r="FY2" s="184" t="str">
        <f>VLOOKUP([1]Start!$H$20,[1]Header_Data!$A3:$GZ32,181,FALSE)</f>
        <v>22.4. MDR oder MDD Zulassung?</v>
      </c>
      <c r="FZ2" s="184" t="str">
        <f>VLOOKUP([1]Start!$H$20,[1]Header_Data!$A3:$GZ32,182,FALSE)</f>
        <v>22.5. Basis UDI-DI</v>
      </c>
      <c r="GA2" s="184" t="str">
        <f>VLOOKUP([1]Start!$H$20,[1]Header_Data!$A3:$GZ32,183,FALSE)</f>
        <v>22.6. benannte Stelle</v>
      </c>
      <c r="GB2" s="184" t="str">
        <f>VLOOKUP([1]Start!$H$20,[1]Header_Data!$A3:$GZ32,184,FALSE)</f>
        <v>22.7. Gültigkeit der Konformitätserklärung bis…</v>
      </c>
      <c r="GC2" s="184" t="s">
        <v>39</v>
      </c>
    </row>
    <row r="3" spans="1:185" s="189" customFormat="1" ht="86.1" customHeight="1" x14ac:dyDescent="0.3">
      <c r="A3" s="190"/>
      <c r="B3" s="191" t="str">
        <f>VLOOKUP(Start!$H$21,Header_Data!$A3:$GZ32,3,FALSE)</f>
        <v>2.1. Name</v>
      </c>
      <c r="C3" s="191" t="str">
        <f>VLOOKUP(Start!$H$21,Header_Data!$A3:$GZ32,4,FALSE)</f>
        <v>2.2. Telefonnummer</v>
      </c>
      <c r="D3" s="191" t="str">
        <f>VLOOKUP(Start!$H$21,Header_Data!$A3:$GZ32,5,FALSE)</f>
        <v>2.3. Email-Adresse</v>
      </c>
      <c r="E3" s="192"/>
      <c r="F3" s="192"/>
      <c r="G3" s="193"/>
      <c r="H3" s="193"/>
      <c r="I3" s="193"/>
      <c r="J3" s="193"/>
      <c r="K3" s="192"/>
      <c r="L3" s="193"/>
      <c r="M3" s="193"/>
      <c r="N3" s="192"/>
      <c r="O3" s="192"/>
      <c r="P3" s="192"/>
      <c r="Q3" s="192"/>
      <c r="R3" s="192"/>
      <c r="S3" s="192"/>
      <c r="T3" s="192"/>
      <c r="U3" s="192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2"/>
      <c r="AG3" s="193"/>
      <c r="AH3" s="192"/>
      <c r="AI3" s="192"/>
      <c r="AJ3" s="192"/>
      <c r="AK3" s="192"/>
      <c r="AL3" s="193"/>
      <c r="AM3" s="192"/>
      <c r="AN3" s="193"/>
      <c r="AO3" s="192"/>
      <c r="AP3" s="194" t="str">
        <f>VLOOKUP(Start!$H$21,Header_Data!$A3:$GZ32,43,FALSE)</f>
        <v xml:space="preserve">20.1.1.
Min. </v>
      </c>
      <c r="AQ3" s="194" t="str">
        <f>VLOOKUP(Start!$H$21,Header_Data!$A3:$GZ32,44,FALSE)</f>
        <v xml:space="preserve">20.1.2.
Max. </v>
      </c>
      <c r="AR3" s="194" t="str">
        <f>VLOOKUP(Start!$H$21,Header_Data!$A3:$GZ32,45,FALSE)</f>
        <v xml:space="preserve">20.2.1.
Min. </v>
      </c>
      <c r="AS3" s="194" t="str">
        <f>VLOOKUP(Start!$H$21,Header_Data!$A3:$GZ32,46,FALSE)</f>
        <v xml:space="preserve">20.2.2.
Max. </v>
      </c>
      <c r="AT3" s="193"/>
      <c r="AU3" s="193"/>
      <c r="AV3" s="192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2"/>
      <c r="BI3" s="193"/>
      <c r="BJ3" s="193"/>
      <c r="BK3" s="193"/>
      <c r="BL3" s="192"/>
      <c r="BM3" s="193"/>
      <c r="BN3" s="192"/>
      <c r="BO3" s="193"/>
      <c r="BP3" s="192"/>
      <c r="BQ3" s="192"/>
      <c r="BR3" s="192"/>
      <c r="BS3" s="192"/>
      <c r="BT3" s="193"/>
      <c r="BU3" s="193"/>
      <c r="BV3" s="192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2"/>
      <c r="CO3" s="192"/>
      <c r="CP3" s="193"/>
      <c r="CQ3" s="193"/>
      <c r="CR3" s="193"/>
      <c r="CS3" s="192"/>
      <c r="CT3" s="195" t="str">
        <f>VLOOKUP([1]Start!$H$21,[1]Header_Data!$A3:$GZ32,99,FALSE)</f>
        <v>32.1.1. Länge</v>
      </c>
      <c r="CU3" s="195" t="str">
        <f>VLOOKUP([1]Start!$H$21,[1]Header_Data!$A3:$GZ32,100,FALSE)</f>
        <v>32.1.2. Breite</v>
      </c>
      <c r="CV3" s="195" t="str">
        <f>VLOOKUP([1]Start!$H$21,[1]Header_Data!$A3:$GZ32,100,FALSE)</f>
        <v>32.1.2. Breite</v>
      </c>
      <c r="CW3" s="193"/>
      <c r="CX3" s="193"/>
      <c r="CY3" s="193"/>
      <c r="CZ3" s="193"/>
      <c r="DA3" s="191" t="str">
        <f>VLOOKUP([1]Start!$H$21,[1]Header_Data!$A3:$GZ32,106,FALSE)</f>
        <v>32.6. Geräteserialnummer vorhanden?</v>
      </c>
      <c r="DB3" s="193"/>
      <c r="DC3" s="191" t="str">
        <f>VLOOKUP([1]Start!$H$21,[1]Header_Data!$A3:$GZ32,108,FALSE)</f>
        <v xml:space="preserve">32.7. Ist der Artikel strombetrieben? </v>
      </c>
      <c r="DD3" s="193"/>
      <c r="DE3" s="193"/>
      <c r="DF3" s="191" t="str">
        <f>VLOOKUP([1]Start!$H$21,[1]Header_Data!$A3:$GZ32,111,FALSE)</f>
        <v>32.8. Artikel enthält Batterien/Akkus?</v>
      </c>
      <c r="DG3" s="193"/>
      <c r="DH3" s="193"/>
      <c r="DI3" s="193"/>
      <c r="DJ3" s="193"/>
      <c r="DK3" s="192"/>
      <c r="DL3" s="193"/>
      <c r="DM3" s="193"/>
      <c r="DN3" s="193"/>
      <c r="DO3" s="193"/>
      <c r="DP3" s="192"/>
      <c r="DQ3" s="196" t="str">
        <f>VLOOKUP(Start!$H$21,Header_Data!$A3:$GZ32,122,FALSE)</f>
        <v>34.1.1. Kunststoff</v>
      </c>
      <c r="DR3" s="196" t="str">
        <f>VLOOKUP(Start!$H$21,Header_Data!$A3:$GZ32,123,FALSE)</f>
        <v>34.1.2. PPK</v>
      </c>
      <c r="DS3" s="196" t="str">
        <f>VLOOKUP(Start!$H$21,Header_Data!$A3:$GZ32,124,FALSE)</f>
        <v>34.1.3. Sonstige Verbunde</v>
      </c>
      <c r="DT3" s="196" t="str">
        <f>VLOOKUP(Start!$H$21,Header_Data!$A3:$GZ32,125,FALSE)</f>
        <v>34.1.4. Glas</v>
      </c>
      <c r="DU3" s="196" t="str">
        <f>VLOOKUP(Start!$H$21,Header_Data!$A3:$GZ32,126,FALSE)</f>
        <v>34.1.5. Aluminium</v>
      </c>
      <c r="DV3" s="196" t="str">
        <f>VLOOKUP(Start!$H$21,Header_Data!$A3:$GZ32,127,FALSE)</f>
        <v>34.1.6. Eisenmetalle</v>
      </c>
      <c r="DW3" s="193"/>
      <c r="DX3" s="196" t="str">
        <f>VLOOKUP(Start!$H$21,Header_Data!$A3:$GZ32,129,FALSE)</f>
        <v>34.3.1. Kunststoff</v>
      </c>
      <c r="DY3" s="196" t="str">
        <f>VLOOKUP(Start!$H$21,Header_Data!$A3:$GZ32,130,FALSE)</f>
        <v>34.3.2. PPK</v>
      </c>
      <c r="DZ3" s="196" t="str">
        <f>VLOOKUP(Start!$H$21,Header_Data!$A3:$GZ32,131,FALSE)</f>
        <v>34.3.3. Sonstige Verbunde</v>
      </c>
      <c r="EA3" s="196" t="str">
        <f>VLOOKUP(Start!$H$21,Header_Data!$A3:$GZ32,132,FALSE)</f>
        <v>34.3.4. Glas</v>
      </c>
      <c r="EB3" s="196" t="str">
        <f>VLOOKUP(Start!$H$21,Header_Data!$A3:$GZ32,133,FALSE)</f>
        <v>34.3.5. Aluminium</v>
      </c>
      <c r="EC3" s="196" t="str">
        <f>VLOOKUP(Start!$H$21,Header_Data!$A3:$GZ32,134,FALSE)</f>
        <v>34.3.6. Eisenmetalle</v>
      </c>
      <c r="ED3" s="193"/>
      <c r="EE3" s="196" t="str">
        <f>VLOOKUP(Start!$H$21,Header_Data!$A3:$GZ32,136,FALSE)</f>
        <v>34.5.1. Kunststoff</v>
      </c>
      <c r="EF3" s="196" t="str">
        <f>VLOOKUP(Start!$H$21,Header_Data!$A3:$GZ32,137,FALSE)</f>
        <v>34.5.2. PPK</v>
      </c>
      <c r="EG3" s="196" t="str">
        <f>VLOOKUP(Start!$H$21,Header_Data!$A3:$GZ32,138,FALSE)</f>
        <v>34.5.3. Sonstige Verbunde</v>
      </c>
      <c r="EH3" s="196" t="str">
        <f>VLOOKUP(Start!$H$21,Header_Data!$A3:$GZ32,139,FALSE)</f>
        <v>34.5.4. Glas</v>
      </c>
      <c r="EI3" s="196" t="str">
        <f>VLOOKUP(Start!$H$21,Header_Data!$A3:$GZ32,140,FALSE)</f>
        <v>34.5.5. Aluminium</v>
      </c>
      <c r="EJ3" s="196" t="str">
        <f>VLOOKUP(Start!$H$21,Header_Data!$A3:$GZ32,141,FALSE)</f>
        <v>34.5.6. Eisenmetalle</v>
      </c>
      <c r="EK3" s="193"/>
      <c r="EL3" s="192"/>
      <c r="EM3" s="192"/>
      <c r="EN3" s="191" t="str">
        <f>VLOOKUP(Start!$H$21,Header_Data!$A3:$GZ32,145,FALSE)</f>
        <v xml:space="preserve">37.1. Länge </v>
      </c>
      <c r="EO3" s="191" t="str">
        <f>VLOOKUP(Start!$H$21,Header_Data!$A3:$GZ32,146,FALSE)</f>
        <v xml:space="preserve">37.2. Breite </v>
      </c>
      <c r="EP3" s="191" t="str">
        <f>VLOOKUP(Start!$H$21,Header_Data!$A3:$GZ32,147,FALSE)</f>
        <v>37.3. Höhe</v>
      </c>
      <c r="EQ3" s="191" t="str">
        <f>VLOOKUP(Start!$H$21,Header_Data!$A3:$GZ32,148,FALSE)</f>
        <v xml:space="preserve">37.4. Bruttogewicht </v>
      </c>
      <c r="ER3" s="191" t="str">
        <f>VLOOKUP(Start!$H$21,Header_Data!$A3:$GZ32,149,FALSE)</f>
        <v xml:space="preserve">37.5. Nettogewicht </v>
      </c>
      <c r="ES3" s="192"/>
      <c r="ET3" s="193"/>
      <c r="EU3" s="197"/>
      <c r="EV3" s="198" t="str">
        <f>VLOOKUP(Start!$H$21,Header_Data!$A3:$GZ32,153,FALSE)</f>
        <v>38.3.1. Länge</v>
      </c>
      <c r="EW3" s="198" t="str">
        <f>VLOOKUP(Start!$H$21,Header_Data!$A3:$GZ32,154,FALSE)</f>
        <v>38.3.2. Breite</v>
      </c>
      <c r="EX3" s="198" t="str">
        <f>VLOOKUP(Start!$H$21,Header_Data!$A3:$GZ32,155,FALSE)</f>
        <v>38.3.3. Höhe</v>
      </c>
      <c r="EY3" s="198" t="str">
        <f>VLOOKUP(Start!$H$21,Header_Data!$A3:$GZ32,156,FALSE)</f>
        <v xml:space="preserve">38.3.4. Bruttogewicht </v>
      </c>
      <c r="EZ3" s="198" t="str">
        <f>VLOOKUP(Start!$H$21,Header_Data!$A3:$GZ32,157,FALSE)</f>
        <v xml:space="preserve">38.3.5. Nettogewicht </v>
      </c>
      <c r="FA3" s="192"/>
      <c r="FB3" s="197"/>
      <c r="FC3" s="197"/>
      <c r="FD3" s="197"/>
      <c r="FE3" s="192"/>
      <c r="FF3" s="192"/>
      <c r="FG3" s="192"/>
      <c r="FH3" s="192"/>
      <c r="FI3" s="192"/>
      <c r="FJ3" s="197"/>
      <c r="FK3" s="197"/>
      <c r="FL3" s="192"/>
      <c r="FM3" s="192"/>
      <c r="FN3" s="199"/>
      <c r="FO3" s="199"/>
      <c r="FP3" s="199"/>
      <c r="FQ3" s="199"/>
      <c r="FR3" s="199"/>
      <c r="FS3" s="192"/>
      <c r="FT3" s="197"/>
      <c r="FU3" s="192"/>
      <c r="FV3" s="197"/>
      <c r="FW3" s="192"/>
      <c r="FX3" s="197"/>
      <c r="FY3" s="197"/>
      <c r="FZ3" s="197"/>
      <c r="GA3" s="197"/>
      <c r="GB3" s="197"/>
      <c r="GC3" s="197"/>
    </row>
    <row r="4" spans="1:185" s="205" customFormat="1" ht="121.95" customHeight="1" outlineLevel="1" x14ac:dyDescent="0.3">
      <c r="A4" s="200" t="str">
        <f>VLOOKUP(Start!$H$22,Header_Data!$A3:$GZ32,2,FALSE)</f>
        <v>!Y</v>
      </c>
      <c r="B4" s="201" t="str">
        <f>VLOOKUP(Start!$H$22,Header_Data!$A3:$GZ32,3,FALSE)</f>
        <v>Textfeld</v>
      </c>
      <c r="C4" s="201" t="str">
        <f>VLOOKUP(Start!$H$22,Header_Data!$A3:$GZ32,4,FALSE)</f>
        <v>Textfeld</v>
      </c>
      <c r="D4" s="201" t="str">
        <f>VLOOKUP(Start!$H$22,Header_Data!$A3:$GZ32,5,FALSE)</f>
        <v>Textfeld</v>
      </c>
      <c r="E4" s="201" t="str">
        <f>VLOOKUP(Start!$H$22,Header_Data!$A3:$GZ32,6,FALSE)</f>
        <v>Datum (tt.mm.jjjj)</v>
      </c>
      <c r="F4" s="201" t="str">
        <f>VLOOKUP(Start!$H$22,Header_Data!$A3:$GZ32,7,FALSE)</f>
        <v xml:space="preserve">N=Neuanlage 
A=Änderung 
Z=nicht mehr lieferbar </v>
      </c>
      <c r="G4" s="201" t="str">
        <f>VLOOKUP(Start!$H$22,Header_Data!$A3:$GZ32,8,FALSE)</f>
        <v>alphanumerisch</v>
      </c>
      <c r="H4" s="201" t="str">
        <f>VLOOKUP(Start!$H$22,Header_Data!$A3:$GZ32,9,FALSE)</f>
        <v>Datum (tt.mm.jjjj)</v>
      </c>
      <c r="I4" s="201" t="str">
        <f>VLOOKUP(Start!$H$22,Header_Data!$A3:$GZ32,10,FALSE)</f>
        <v>Datum (tt.mm.jjjj)</v>
      </c>
      <c r="J4" s="201" t="str">
        <f>VLOOKUP(Start!$H$22,Header_Data!$A3:$GZ32,11,FALSE)</f>
        <v>Beutel, Dose, Eimer, Flasche, Kanister, Karton, Muster, Packung, Rolle, Set, Spender, Spritze, Stück, Tube, Nachfüllpackung, Großpackung …</v>
      </c>
      <c r="K4" s="201" t="str">
        <f>VLOOKUP(Start!$H$22,Header_Data!$A3:$GZ32,12,FALSE)</f>
        <v>(J/N)</v>
      </c>
      <c r="L4" s="201" t="str">
        <f>VLOOKUP(Start!$H$22,Header_Data!$A3:$GZ32,13,FALSE)</f>
        <v>Datum (tt.mm.jjjj)</v>
      </c>
      <c r="M4" s="201" t="str">
        <f>VLOOKUP(Start!$H$22,Header_Data!$A3:$GZ32,14,FALSE)</f>
        <v>alphanumerisch</v>
      </c>
      <c r="N4" s="201" t="str">
        <f>VLOOKUP(Start!$H$22,Header_Data!$A3:$GZ32,15,FALSE)</f>
        <v>Textfeld</v>
      </c>
      <c r="O4" s="201" t="str">
        <f>VLOOKUP(Start!$H$22,Header_Data!$A3:$GZ32,16,FALSE)</f>
        <v>alphanumerisch
Wenn Hersteller = Lieferant, dann exakte Hersteller-Artikelnummer angeben.</v>
      </c>
      <c r="P4" s="201" t="str">
        <f>VLOOKUP(Start!$H$22,Header_Data!$A3:$GZ32,17,FALSE)</f>
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</c>
      <c r="Q4" s="201" t="str">
        <f>VLOOKUP(Start!$H$22,Header_Data!$A3:$GZ32,18,FALSE)</f>
        <v>Textfeld
Bitte ausfüllen, wenn Lieferant und Hersteller nicht identisch sind.</v>
      </c>
      <c r="R4" s="201" t="str">
        <f>VLOOKUP(Start!$H$22,Header_Data!$A3:$GZ32,19,FALSE)</f>
        <v>Textfeld
Bitte ausfüllen, wenn Lieferant und Hersteller nicht identisch sind.</v>
      </c>
      <c r="S4" s="201" t="str">
        <f>VLOOKUP(Start!$H$22,Header_Data!$A3:$GZ32,20,FALSE)</f>
        <v>Länder bitte durch Ländercodes nach ISO 3166 angeben und durch / voneinander trennen.</v>
      </c>
      <c r="T4" s="201" t="str">
        <f>VLOOKUP([1]Start!$H$22,[1]Header_Data!$A3:$GZ32,21,FALSE)</f>
        <v>(N/i/o</v>
      </c>
      <c r="U4" s="201" t="str">
        <f>VLOOKUP(Start!$H$22,Header_Data!$A3:$GZ32,22,FALSE)</f>
        <v>(J/N)</v>
      </c>
      <c r="V4" s="201" t="str">
        <f>VLOOKUP(Start!$H$22,Header_Data!$A3:$GZ32,23,FALSE)</f>
        <v>numerisch</v>
      </c>
      <c r="W4" s="201" t="str">
        <f>VLOOKUP(Start!$H$22,Header_Data!$A3:$GZ32,24,FALSE)</f>
        <v>numerisch</v>
      </c>
      <c r="X4" s="201" t="str">
        <f>VLOOKUP(Start!$H$22,Header_Data!$A3:$GZ32,25,FALSE)</f>
        <v>numerisch</v>
      </c>
      <c r="Y4" s="201" t="str">
        <f>VLOOKUP(Start!$H$22,Header_Data!$A3:$GZ32,26,FALSE)</f>
        <v>numerisch</v>
      </c>
      <c r="Z4" s="201" t="str">
        <f>VLOOKUP(Start!$H$22,Header_Data!$A3:$GZ32,27,FALSE)</f>
        <v>alphanumerisch</v>
      </c>
      <c r="AA4" s="201" t="str">
        <f>VLOOKUP(Start!$H$22,Header_Data!$A3:$GZ32,28,FALSE)</f>
        <v>alphanumerisch</v>
      </c>
      <c r="AB4" s="201" t="str">
        <f>VLOOKUP(Start!$H$22,Header_Data!$A3:$GZ32,29,FALSE)</f>
        <v>alphanumerisch</v>
      </c>
      <c r="AC4" s="201" t="str">
        <f>VLOOKUP(Start!$H$22,Header_Data!$A3:$GZ32,30,FALSE)</f>
        <v>alphanumerisch</v>
      </c>
      <c r="AD4" s="201" t="str">
        <f>VLOOKUP(Start!$H$22,Header_Data!$A3:$GZ32,31,FALSE)</f>
        <v>numerisch</v>
      </c>
      <c r="AE4" s="201" t="str">
        <f>VLOOKUP(Start!$H$22,Header_Data!$A3:$GZ32,32,FALSE)</f>
        <v>numerisch</v>
      </c>
      <c r="AF4" s="201" t="str">
        <f>VLOOKUP(Start!$H$22,Header_Data!$A3:$GZ32,33,FALSE)</f>
        <v>(numerisch / N)</v>
      </c>
      <c r="AG4" s="201" t="str">
        <f>VLOOKUP(Start!$H$22,Header_Data!$A3:$GZ32,34,FALSE)</f>
        <v>alphanumerisch</v>
      </c>
      <c r="AH4" s="201" t="str">
        <f>VLOOKUP(Start!$H$22,Header_Data!$A3:$GZ32,35,FALSE)</f>
        <v>Dental = DENT
Humanmedizin = MED
Veterinär = VET
durch / voneinander trennen</v>
      </c>
      <c r="AI4" s="201" t="str">
        <f>VLOOKUP(Start!$H$22,Header_Data!$A3:$GZ32,36,FALSE)</f>
        <v>P = Praxis
L = Labor 
B = beides</v>
      </c>
      <c r="AJ4" s="201" t="str">
        <f>VLOOKUP(Start!$H$22,Header_Data!$A3:$GZ32,37,FALSE)</f>
        <v>(J/N)</v>
      </c>
      <c r="AK4" s="201" t="str">
        <f>VLOOKUP([1]Start!$H$22,[1]Header_Data!$A3:$GZ32,38,FALSE)</f>
        <v>(J/N)</v>
      </c>
      <c r="AL4" s="201" t="str">
        <f>VLOOKUP([1]Start!$H$22,[1]Header_Data!$A3:$GZ32,39,FALSE)</f>
        <v>Sprachen bitte durch Ländercode nach ISO 3166 angeben und durch / voneinander trennen.</v>
      </c>
      <c r="AM4" s="201" t="str">
        <f>VLOOKUP(Start!$H$22,Header_Data!$A3:$GZ32,40,FALSE)</f>
        <v>(J/N)</v>
      </c>
      <c r="AN4" s="201" t="str">
        <f>VLOOKUP(Start!$H$22,Header_Data!$A3:$GZ32,41,FALSE)</f>
        <v>Sprachen bitte durch Ländercode nach ISO 3166 angeben und durch / voneinander trennen.</v>
      </c>
      <c r="AO4" s="201" t="str">
        <f>VLOOKUP(Start!$H$22,Header_Data!$A3:$GZ32,42,FALSE)</f>
        <v>(J/N)</v>
      </c>
      <c r="AP4" s="202" t="str">
        <f>VLOOKUP(Start!$H$22,Header_Data!$A3:$GZ32,43,FALSE)</f>
        <v>in °C</v>
      </c>
      <c r="AQ4" s="203"/>
      <c r="AR4" s="203"/>
      <c r="AS4" s="204"/>
      <c r="AT4" s="201" t="str">
        <f>VLOOKUP(Start!$H$22,Header_Data!$A3:$GZ32,47,FALSE)</f>
        <v>in Stunden (h)</v>
      </c>
      <c r="AU4" s="201" t="str">
        <f>VLOOKUP(Start!$H$22,Header_Data!$A3:$GZ32,48,FALSE)</f>
        <v>(J/N)</v>
      </c>
      <c r="AV4" s="201" t="str">
        <f>VLOOKUP(Start!$H$22,Header_Data!$A3:$GZ32,49,FALSE)</f>
        <v>(J/N)</v>
      </c>
      <c r="AW4" s="201" t="str">
        <f>VLOOKUP(Start!$H$22,Header_Data!$A3:$GZ32,50,FALSE)</f>
        <v>(J/N)</v>
      </c>
      <c r="AX4" s="201" t="str">
        <f>VLOOKUP(Start!$H$22,Header_Data!$A3:$GZ32,51,FALSE)</f>
        <v>(J/N)</v>
      </c>
      <c r="AY4" s="201" t="str">
        <f>VLOOKUP(Start!$H$22,Header_Data!$A3:$GZ32,52,FALSE)</f>
        <v>(J/N)</v>
      </c>
      <c r="AZ4" s="201" t="str">
        <f>VLOOKUP(Start!$H$22,Header_Data!$A3:$GZ32,53,FALSE)</f>
        <v>(J/N)</v>
      </c>
      <c r="BA4" s="201" t="str">
        <f>VLOOKUP(Start!$H$22,Header_Data!$A3:$GZ32,54,FALSE)</f>
        <v>(J/N)</v>
      </c>
      <c r="BB4" s="201" t="str">
        <f>VLOOKUP(Start!$H$22,Header_Data!$A3:$GZ32,55,FALSE)</f>
        <v>(J/N)</v>
      </c>
      <c r="BC4" s="201" t="str">
        <f>VLOOKUP(Start!$H$22,Header_Data!$A3:$GZ32,56,FALSE)</f>
        <v>(J/N)</v>
      </c>
      <c r="BD4" s="201" t="str">
        <f>VLOOKUP(Start!$H$22,Header_Data!$A3:$GZ32,57,FALSE)</f>
        <v>(J/N)</v>
      </c>
      <c r="BE4" s="201" t="str">
        <f>VLOOKUP(Start!$H$22,Header_Data!$A3:$GZ32,58,FALSE)</f>
        <v>(J/N)</v>
      </c>
      <c r="BF4" s="201" t="str">
        <f>VLOOKUP(Start!$H$22,Header_Data!$A3:$GZ32,59,FALSE)</f>
        <v>Länder bitte durch Ländercodes nach ISO 3166 angeben und durch / voneinander trennen.</v>
      </c>
      <c r="BG4" s="201" t="str">
        <f>VLOOKUP(Start!$H$22,Header_Data!$A3:$GZ32,60,FALSE)</f>
        <v>alphanumerisch</v>
      </c>
      <c r="BH4" s="201" t="str">
        <f>VLOOKUP([1]Start!$H$22,[1]Header_Data!$A3:$GZ32,61,FALSE)</f>
        <v>(J/N)</v>
      </c>
      <c r="BI4" s="201" t="str">
        <f>VLOOKUP([1]Start!$H$22,[1]Header_Data!$A3:$GZ32,62,FALSE)</f>
        <v>(I, Is, Im, IIa, IIb, III, IVD)</v>
      </c>
      <c r="BJ4" s="201" t="str">
        <f>VLOOKUP([1]Start!$H$22,[1]Header_Data!$A3:$GZ32,63,FALSE)</f>
        <v>(J/N)</v>
      </c>
      <c r="BK4" s="201" t="str">
        <f>VLOOKUP([1]Start!$H$22,[1]Header_Data!$A3:$GZ32,64,FALSE)</f>
        <v>(J/N)</v>
      </c>
      <c r="BL4" s="201" t="str">
        <f>VLOOKUP([1]Start!$H$22,[1]Header_Data!$A3:$GZ32,65,FALSE)</f>
        <v>(J/N)</v>
      </c>
      <c r="BM4" s="201" t="str">
        <f>VLOOKUP([1]Start!$H$22,[1]Header_Data!$A3:$GZ32,66,FALSE)</f>
        <v>(J/N)</v>
      </c>
      <c r="BN4" s="201" t="str">
        <f>VLOOKUP([1]Start!$H$22,[1]Header_Data!$A3:$GZ32,67,FALSE)</f>
        <v>(J/N)</v>
      </c>
      <c r="BO4" s="201" t="str">
        <f>VLOOKUP([1]Start!$H$22,[1]Header_Data!$A3:$GZ32,68,FALSE)</f>
        <v>numerisch</v>
      </c>
      <c r="BP4" s="201" t="str">
        <f>VLOOKUP([1]Start!$H$22,[1]Header_Data!$A3:$GZ32,69,FALSE)</f>
        <v>(J/N)</v>
      </c>
      <c r="BQ4" s="201" t="str">
        <f>VLOOKUP([1]Start!$H$22,[1]Header_Data!$A3:$GZ32,70,FALSE)</f>
        <v>(J/N)</v>
      </c>
      <c r="BR4" s="201" t="str">
        <f>VLOOKUP(Start!$H$22,Header_Data!$A3:$GZ32,71,FALSE)</f>
        <v>in Gramm (g) oder Prozent (%) Wenn vorhanden, bitte beides angeben (Bsp. 3g / 15%)</v>
      </c>
      <c r="BS4" s="201" t="str">
        <f>VLOOKUP(Start!$H$22,Header_Data!$A3:$GZ32,72,FALSE)</f>
        <v>(J/N)
Wenn ein SDB vorhanden ist, dann muss dieses zwingend als Anhang mitgeschickt werden!</v>
      </c>
      <c r="BT4" s="201" t="str">
        <f>VLOOKUP(Start!$H$22,Header_Data!$A3:$GZ32,73,FALSE)</f>
        <v>Datum (tt.mm.jjjj)</v>
      </c>
      <c r="BU4" s="201" t="str">
        <f>VLOOKUP(Start!$H$22,Header_Data!$A3:$GZ32,74,FALSE)</f>
        <v>(J/N)</v>
      </c>
      <c r="BV4" s="201" t="str">
        <f>VLOOKUP(Start!$H$22,Header_Data!$A3:$GZ32,75,FALSE)</f>
        <v>(J/N)</v>
      </c>
      <c r="BW4" s="201" t="str">
        <f>VLOOKUP(Start!$H$22,Header_Data!$A3:$GZ32,76,FALSE)</f>
        <v>(J/N)</v>
      </c>
      <c r="BX4" s="201" t="str">
        <f>VLOOKUP(Start!$H$22,Header_Data!$A3:$GZ32,77,FALSE)</f>
        <v>numerisch</v>
      </c>
      <c r="BY4" s="201" t="str">
        <f>VLOOKUP(Start!$H$22,Header_Data!$A3:$GZ32,78,FALSE)</f>
        <v>Textfeld</v>
      </c>
      <c r="BZ4" s="201" t="str">
        <f>VLOOKUP(Start!$H$22,Header_Data!$A3:$GZ32,79,FALSE)</f>
        <v>numerisch</v>
      </c>
      <c r="CA4" s="201" t="str">
        <f>VLOOKUP(Start!$H$22,Header_Data!$A3:$GZ32,80,FALSE)</f>
        <v>numerisch</v>
      </c>
      <c r="CB4" s="201" t="str">
        <f>VLOOKUP(Start!$H$22,Header_Data!$A3:$GZ32,81,FALSE)</f>
        <v>numerisch</v>
      </c>
      <c r="CC4" s="201" t="str">
        <f>VLOOKUP(Start!$H$22,Header_Data!$A3:$GZ32,82,FALSE)</f>
        <v>numerisch</v>
      </c>
      <c r="CD4" s="201" t="str">
        <f>VLOOKUP(Start!$H$22,Header_Data!$A3:$GZ32,83,FALSE)</f>
        <v>numerisch</v>
      </c>
      <c r="CE4" s="201" t="str">
        <f>VLOOKUP(Start!$H$22,Header_Data!$A3:$GZ32,84,FALSE)</f>
        <v>numerisch</v>
      </c>
      <c r="CF4" s="201" t="str">
        <f>VLOOKUP(Start!$H$22,Header_Data!$A3:$GZ32,85,FALSE)</f>
        <v>numerisch</v>
      </c>
      <c r="CG4" s="201" t="str">
        <f>VLOOKUP(Start!$H$22,Header_Data!$A3:$GZ32,86,FALSE)</f>
        <v>Bitte vollständigen Code inkl. Klammern angeben.</v>
      </c>
      <c r="CH4" s="201" t="str">
        <f>VLOOKUP(Start!$H$22,Header_Data!$A3:$GZ32,87,FALSE)</f>
        <v>numerisch</v>
      </c>
      <c r="CI4" s="201" t="str">
        <f>VLOOKUP(Start!$H$22,Header_Data!$A3:$GZ32,88,FALSE)</f>
        <v>numerisch
in Milliliter (ml) oder Gramm (g)</v>
      </c>
      <c r="CJ4" s="201" t="str">
        <f>VLOOKUP(Start!$H$22,Header_Data!$A3:$GZ32,89,FALSE)</f>
        <v xml:space="preserve">Fass, Kanister, Kiste, Sack, 
Kombinationsverpackung, 
Feinstblechverpackung
</v>
      </c>
      <c r="CK4" s="201" t="str">
        <f>VLOOKUP(Start!$H$22,Header_Data!$A3:$GZ32,90,FALSE)</f>
        <v>(J/N)</v>
      </c>
      <c r="CL4" s="201" t="str">
        <f>VLOOKUP(Start!$H$22,Header_Data!$A3:$GZ32,91,FALSE)</f>
        <v>numerisch</v>
      </c>
      <c r="CM4" s="201" t="str">
        <f>VLOOKUP(Start!$H$22,Header_Data!$A3:$GZ32,92,FALSE)</f>
        <v>(J/N)</v>
      </c>
      <c r="CN4" s="201" t="str">
        <f>VLOOKUP(Start!$H$22,Header_Data!$A3:$GZ32,93,FALSE)</f>
        <v>(J/N)</v>
      </c>
      <c r="CO4" s="201" t="str">
        <f>VLOOKUP(Start!$H$22,Header_Data!$A3:$GZ32,94,FALSE)</f>
        <v>(J/N)</v>
      </c>
      <c r="CP4" s="201" t="str">
        <f>VLOOKUP(Start!$H$22,Header_Data!$A3:$GZ32,95,FALSE)</f>
        <v>(J/N)</v>
      </c>
      <c r="CQ4" s="201" t="str">
        <f>VLOOKUP(Start!$H$22,Header_Data!$A3:$GZ32,96,FALSE)</f>
        <v>(J/N)</v>
      </c>
      <c r="CR4" s="201" t="str">
        <f>VLOOKUP(Start!$H$22,Header_Data!$A3:$GZ32,97,FALSE)</f>
        <v>(J/N)</v>
      </c>
      <c r="CS4" s="201" t="str">
        <f>VLOOKUP([1]Start!$H$22,[1]Header_Data!$A3:$GZ32,98,FALSE)</f>
        <v>(J/N)</v>
      </c>
      <c r="CT4" s="202" t="str">
        <f>VLOOKUP([1]Start!$H$22,[1]Header_Data!$A3:$GZ32,99,FALSE)</f>
        <v>in Millimeter (mm)</v>
      </c>
      <c r="CU4" s="203"/>
      <c r="CV4" s="204"/>
      <c r="CW4" s="201" t="str">
        <f>VLOOKUP([1]Start!$H$22,[1]Header_Data!$A3:$GZ32,102,FALSE)</f>
        <v>in Liter (L)</v>
      </c>
      <c r="CX4" s="201" t="str">
        <f>VLOOKUP([1]Start!$H$22,[1]Header_Data!$A3:$GZ32,103,FALSE)</f>
        <v>in °C</v>
      </c>
      <c r="CY4" s="201" t="str">
        <f>VLOOKUP([1]Start!$H$22,[1]Header_Data!$A3:$GZ32,104,FALSE)</f>
        <v>in Watt (W)</v>
      </c>
      <c r="CZ4" s="201" t="str">
        <f>VLOOKUP([1]Start!$H$22,[1]Header_Data!$A3:$GZ32,105,FALSE)</f>
        <v>(J/N)</v>
      </c>
      <c r="DA4" s="201" t="str">
        <f>VLOOKUP([1]Start!$H$22,[1]Header_Data!$A3:$GZ32,106,FALSE)</f>
        <v>(J/N)</v>
      </c>
      <c r="DB4" s="201" t="str">
        <f>VLOOKUP([1]Start!$H$22,[1]Header_Data!$A3:$GZ32,107,FALSE)</f>
        <v>numerisch</v>
      </c>
      <c r="DC4" s="201" t="str">
        <f>VLOOKUP([1]Start!$H$22,[1]Header_Data!$A3:$GZ32,108,FALSE)</f>
        <v>(J/N)</v>
      </c>
      <c r="DD4" s="201" t="str">
        <f>VLOOKUP([1]Start!$H$22,[1]Header_Data!$A3:$GZ32,109,FALSE)</f>
        <v>(J/N)</v>
      </c>
      <c r="DE4" s="201" t="str">
        <f>VLOOKUP([1]Start!$H$22,[1]Header_Data!$A3:$GZ32,110,FALSE)</f>
        <v>(J/N)</v>
      </c>
      <c r="DF4" s="201" t="str">
        <f>VLOOKUP([1]Start!$H$22,[1]Header_Data!$A3:$GZ32,111,FALSE)</f>
        <v>(J/N)</v>
      </c>
      <c r="DG4" s="201" t="str">
        <f>VLOOKUP([1]Start!$H$22,[1]Header_Data!$A3:$GZ32,112,FALSE)</f>
        <v>(J/N)</v>
      </c>
      <c r="DH4" s="201" t="str">
        <f>VLOOKUP([1]Start!$H$22,[1]Header_Data!$A3:$GZ32,113,FALSE)</f>
        <v>Textfeld
(LiIon, LiMetall, Blei, NiCa, etc.)</v>
      </c>
      <c r="DI4" s="201" t="str">
        <f>VLOOKUP([1]Start!$H$22,[1]Header_Data!$A3:$GZ32,114,FALSE)</f>
        <v>numerisch</v>
      </c>
      <c r="DJ4" s="201">
        <f>VLOOKUP([1]Start!$H$22,[1]Header_Data!$A3:$GZ32,115,FALSE)</f>
        <v>4</v>
      </c>
      <c r="DK4" s="201" t="str">
        <f>VLOOKUP([1]Start!$H$22,[1]Header_Data!$A3:$GZ32,116,FALSE)</f>
        <v>(J/N)</v>
      </c>
      <c r="DL4" s="201" t="str">
        <f>VLOOKUP([1]Start!$H$22,[1]Header_Data!$A3:$GZ32,117,FALSE)</f>
        <v>in Monaten</v>
      </c>
      <c r="DM4" s="201" t="str">
        <f>VLOOKUP([1]Start!$H$22,[1]Header_Data!$A3:$GZ32,118,FALSE)</f>
        <v>in Monaten</v>
      </c>
      <c r="DN4" s="201" t="str">
        <f>VLOOKUP([1]Start!$H$22,[1]Header_Data!$A3:$GZ32,119,FALSE)</f>
        <v>in Monaten</v>
      </c>
      <c r="DO4" s="201" t="str">
        <f>VLOOKUP([1]Start!$H$22,[1]Header_Data!$A3:$GZ32,120,FALSE)</f>
        <v>in Monaten</v>
      </c>
      <c r="DP4" s="201" t="str">
        <f>VLOOKUP(Start!$H$22,Header_Data!$A3:$GZ32,121,FALSE)</f>
        <v>(J/N)</v>
      </c>
      <c r="DQ4" s="202" t="str">
        <f>VLOOKUP(Start!$H$22,Header_Data!$A3:$GZ32,122,FALSE)</f>
        <v>in Gramm (g)</v>
      </c>
      <c r="DR4" s="203"/>
      <c r="DS4" s="203"/>
      <c r="DT4" s="203"/>
      <c r="DU4" s="203"/>
      <c r="DV4" s="204"/>
      <c r="DW4" s="201" t="str">
        <f>VLOOKUP(Start!$H$22,Header_Data!$A3:$GZ32,128,FALSE)</f>
        <v>(J/N)</v>
      </c>
      <c r="DX4" s="202" t="str">
        <f>VLOOKUP(Start!$H$22,Header_Data!$A3:$GZ32,129,FALSE)</f>
        <v>in Gramm (g)</v>
      </c>
      <c r="DY4" s="203"/>
      <c r="DZ4" s="203"/>
      <c r="EA4" s="203"/>
      <c r="EB4" s="203"/>
      <c r="EC4" s="204"/>
      <c r="ED4" s="201" t="str">
        <f>VLOOKUP(Start!$H$22,Header_Data!$A3:$GZ32,135,FALSE)</f>
        <v>(J/N)</v>
      </c>
      <c r="EE4" s="202" t="str">
        <f>VLOOKUP(Start!$H$22,Header_Data!$A3:$GZ32,136,FALSE)</f>
        <v>in Gramm (g)</v>
      </c>
      <c r="EF4" s="203"/>
      <c r="EG4" s="203"/>
      <c r="EH4" s="203"/>
      <c r="EI4" s="203"/>
      <c r="EJ4" s="204"/>
      <c r="EK4" s="201" t="str">
        <f>VLOOKUP(Start!$H$22,Header_Data!$A3:$GZ32,142,FALSE)</f>
        <v>(J/N)</v>
      </c>
      <c r="EL4" s="201" t="str">
        <f>VLOOKUP(Start!$H$22,Header_Data!$A3:$GZ32,143,FALSE)</f>
        <v>in Stück</v>
      </c>
      <c r="EM4" s="201" t="str">
        <f>VLOOKUP(Start!$H$22,Header_Data!$A3:$GZ32,144,FALSE)</f>
        <v>numerisch</v>
      </c>
      <c r="EN4" s="202" t="str">
        <f>VLOOKUP(Start!$H$22,Header_Data!$A3:$GZ32,145,FALSE)</f>
        <v>numerisch in Millimeter (mm)</v>
      </c>
      <c r="EO4" s="203"/>
      <c r="EP4" s="204"/>
      <c r="EQ4" s="202" t="str">
        <f>VLOOKUP(Start!$H$22,Header_Data!$A3:$GZ32,148,FALSE)</f>
        <v>numerisch in Gramm (g)</v>
      </c>
      <c r="ER4" s="204"/>
      <c r="ES4" s="201" t="str">
        <f>VLOOKUP(Start!$H$22,Header_Data!$A3:$GZ32,150,FALSE)</f>
        <v>(J/N)</v>
      </c>
      <c r="ET4" s="201" t="str">
        <f>VLOOKUP(Start!$H$22,Header_Data!$A3:$GZ32,151,FALSE)</f>
        <v>(J/N)</v>
      </c>
      <c r="EU4" s="201" t="str">
        <f>VLOOKUP(Start!$H$22,Header_Data!$A3:$GZ32,152,FALSE)</f>
        <v>numerisch</v>
      </c>
      <c r="EV4" s="202" t="str">
        <f>VLOOKUP(Start!$H$22,Header_Data!$A3:$GZ32,153,FALSE)</f>
        <v>in Millimeter (mm)</v>
      </c>
      <c r="EW4" s="203"/>
      <c r="EX4" s="204"/>
      <c r="EY4" s="202" t="str">
        <f>VLOOKUP(Start!$H$22,Header_Data!$A3:$GZ32,156,FALSE)</f>
        <v>in Gramm (g)</v>
      </c>
      <c r="EZ4" s="204"/>
      <c r="FA4" s="201" t="str">
        <f>VLOOKUP(Start!$H$22,Header_Data!$A3:$GZ32,158,FALSE)</f>
        <v>(J/N)</v>
      </c>
      <c r="FB4" s="201" t="str">
        <f>VLOOKUP(Start!$H$22,Header_Data!$A3:$GZ32,159,FALSE)</f>
        <v>Textfeld</v>
      </c>
      <c r="FC4" s="201" t="str">
        <f>VLOOKUP(Start!$H$22,Header_Data!$A3:$GZ32,160,FALSE)</f>
        <v>numerisch</v>
      </c>
      <c r="FD4" s="201" t="str">
        <f>VLOOKUP(Start!$H$22,Header_Data!$A3:$GZ32,161,FALSE)</f>
        <v>in Millimeter (mm)</v>
      </c>
      <c r="FE4" s="201" t="str">
        <f>VLOOKUP(Start!$H$22,Header_Data!$A3:$GZ32,162,FALSE)</f>
        <v>numerisch, 8-11-stellig</v>
      </c>
      <c r="FF4" s="201" t="str">
        <f>VLOOKUP([1]Start!$H$22,[1]Header_Data!$A3:$GZ32,163,FALSE)</f>
        <v>(J/N)</v>
      </c>
      <c r="FG4" s="201" t="str">
        <f>VLOOKUP(Start!$H$22,Header_Data!$A3:$GZ32,164,FALSE)</f>
        <v>zweistellig, gemäß ISO 3166, Alpha 2</v>
      </c>
      <c r="FH4" s="201" t="str">
        <f>VLOOKUP(Start!$H$22,Header_Data!$A3:$GZ32,165,FALSE)</f>
        <v>Textfeld</v>
      </c>
      <c r="FI4" s="201" t="str">
        <f>VLOOKUP(Start!$H$22,Header_Data!$A3:$GZ32,166,FALSE)</f>
        <v>(J/N)</v>
      </c>
      <c r="FJ4" s="201" t="str">
        <f>VLOOKUP(Start!$H$22,Header_Data!$A3:$GZ32,167,FALSE)</f>
        <v>in EUR</v>
      </c>
      <c r="FK4" s="201" t="str">
        <f>VLOOKUP(Start!$H$22,Header_Data!$A3:$GZ32,168,FALSE)</f>
        <v>Textfeld</v>
      </c>
      <c r="FL4" s="201" t="str">
        <f>VLOOKUP(Start!$H$22,Header_Data!$A3:$GZ32,169,FALSE)</f>
        <v>in Prozent (%)</v>
      </c>
      <c r="FM4" s="201" t="str">
        <f>VLOOKUP(Start!$H$22,Header_Data!$A3:$GZ32,170,FALSE)</f>
        <v>Text und/oder Anhang / N
(z.B. latexhaltig)</v>
      </c>
      <c r="FN4" s="202" t="str">
        <f>VLOOKUP(Start!$H$22,Header_Data!$A3:$GZ32,171,FALSE)</f>
        <v>Originalname der SD Datei des Herstellers</v>
      </c>
      <c r="FO4" s="203"/>
      <c r="FP4" s="203"/>
      <c r="FQ4" s="203"/>
      <c r="FR4" s="204"/>
      <c r="FS4" s="201" t="str">
        <f>VLOOKUP(Start!$H$22,Header_Data!$A3:$GZ32,176,FALSE)</f>
        <v>(J/N)</v>
      </c>
      <c r="FT4" s="201" t="str">
        <f>VLOOKUP(Start!$H$22,Header_Data!$A3:$GZ32,177,FALSE)</f>
        <v>Händler bitte durch / voneinander trennen. (Bsp. DU/HSC/PD/NWD/M&amp;W)</v>
      </c>
      <c r="FU4" s="201" t="str">
        <f>VLOOKUP([1]Start!$H$22,[1]Header_Data!$A3:$GZ32,178,FALSE)</f>
        <v>(J/N)</v>
      </c>
      <c r="FV4" s="201" t="str">
        <f>VLOOKUP([1]Start!$H$22,[1]Header_Data!$A3:$GZ32,179,FALSE)</f>
        <v>(I, II, III)</v>
      </c>
      <c r="FW4" s="201" t="str">
        <f>VLOOKUP([1]Start!$H$22,[1]Header_Data!$A3:$GZ32,180,FALSE)</f>
        <v>(J/N)</v>
      </c>
      <c r="FX4" s="201" t="s">
        <v>663</v>
      </c>
      <c r="FY4" s="201" t="str">
        <f>VLOOKUP([1]Start!$H$22,[1]Header_Data!$A3:$GZ32,181,FALSE)</f>
        <v>MDR oder MDD</v>
      </c>
      <c r="FZ4" s="201" t="str">
        <f>VLOOKUP([1]Start!$H$22,[1]Header_Data!$A3:$GZ32,182,FALSE)</f>
        <v>Alphanumerisch</v>
      </c>
      <c r="GA4" s="201" t="str">
        <f>VLOOKUP([1]Start!$H$22,[1]Header_Data!$A3:$GZ32,183,FALSE)</f>
        <v>Alphanumerisch</v>
      </c>
      <c r="GB4" s="201" t="str">
        <f>VLOOKUP([1]Start!$H$22,[1]Header_Data!$A3:$GZ32,184,FALSE)</f>
        <v>tt.mm.jjjj</v>
      </c>
      <c r="GC4" s="201" t="s">
        <v>40</v>
      </c>
    </row>
    <row r="5" spans="1:185" s="207" customFormat="1" ht="87" customHeight="1" outlineLevel="1" x14ac:dyDescent="0.3">
      <c r="A5" s="206" t="str">
        <f>VLOOKUP(Start!H23,Header_Data!$A3:$GZ32,2,FALSE)</f>
        <v>Nur für csv-Konvertierung erforderlich</v>
      </c>
      <c r="B5" s="206" t="str">
        <f>VLOOKUP(Start!$H$23,Header_Data!$A3:$GZ32,3,FALSE)</f>
        <v>Pflichtfeld</v>
      </c>
      <c r="C5" s="206" t="str">
        <f>VLOOKUP(Start!$H$23,Header_Data!$A3:$GZ32,4,FALSE)</f>
        <v>Pflichtfeld</v>
      </c>
      <c r="D5" s="206" t="str">
        <f>VLOOKUP(Start!$H$23,Header_Data!$A3:$GZ32,5,FALSE)</f>
        <v>Pflichtfeld</v>
      </c>
      <c r="E5" s="206" t="str">
        <f>VLOOKUP(Start!$H$23,Header_Data!$A3:$GZ32,6,FALSE)</f>
        <v>Pflichtfeld</v>
      </c>
      <c r="F5" s="206" t="str">
        <f>VLOOKUP(Start!$H$23,Header_Data!$A3:$GZ32,7,FALSE)</f>
        <v>Pflichtfeld 
Wenn "N" oder "A", bitte auch die folgenden Felder ausfüllen (graue Spaltenüberschriften).</v>
      </c>
      <c r="G5" s="206" t="str">
        <f>VLOOKUP(Start!$H$23,Header_Data!$A3:$GZ32,8,FALSE)</f>
        <v>abhängiges Feld</v>
      </c>
      <c r="H5" s="206" t="str">
        <f>VLOOKUP(Start!$H$23,Header_Data!$A3:$GZ32,9,FALSE)</f>
        <v>abhängiges Feld</v>
      </c>
      <c r="I5" s="206" t="str">
        <f>VLOOKUP(Start!$H$23,Header_Data!$A3:$GZ32,10,FALSE)</f>
        <v>abhängiges Feld</v>
      </c>
      <c r="J5" s="206" t="str">
        <f>VLOOKUP(Start!$H$23,Header_Data!$A3:$GZ32,11,FALSE)</f>
        <v>abhängiges Feld</v>
      </c>
      <c r="K5" s="206" t="str">
        <f>VLOOKUP(Start!$H$23,Header_Data!$A3:$GZ32,12,FALSE)</f>
        <v>Pflichtfeld 
Wenn "J", bitte auch die folgenden Felder ausfüllen (graue Spaltenüberschriften).</v>
      </c>
      <c r="L5" s="206" t="str">
        <f>VLOOKUP(Start!$H$23,Header_Data!$A3:$GZ32,13,FALSE)</f>
        <v>abhängiges Feld</v>
      </c>
      <c r="M5" s="206" t="str">
        <f>VLOOKUP(Start!$H$23,Header_Data!$A3:$GZ32,14,FALSE)</f>
        <v>abhängiges Feld</v>
      </c>
      <c r="N5" s="206" t="str">
        <f>VLOOKUP(Start!$H$23,Header_Data!$A3:$GZ32,15,FALSE)</f>
        <v>Pflichtfeld</v>
      </c>
      <c r="O5" s="206" t="str">
        <f>VLOOKUP(Start!$H$23,Header_Data!$A3:$GZ32,16,FALSE)</f>
        <v>Pflichtfeld</v>
      </c>
      <c r="P5" s="206" t="str">
        <f>VLOOKUP(Start!$H$23,Header_Data!$A3:$GZ32,17,FALSE)</f>
        <v>Pflichtfeld</v>
      </c>
      <c r="Q5" s="206" t="str">
        <f>VLOOKUP(Start!$H$23,Header_Data!$A3:$GZ32,18,FALSE)</f>
        <v>Pflichtfeld</v>
      </c>
      <c r="R5" s="206" t="str">
        <f>VLOOKUP(Start!$H$23,Header_Data!$A3:$GZ32,19,FALSE)</f>
        <v>Pflichtfeld</v>
      </c>
      <c r="S5" s="206" t="str">
        <f>VLOOKUP(Start!$H$23,Header_Data!$A3:$GZ32,20,FALSE)</f>
        <v>Pflichtfeld</v>
      </c>
      <c r="T5" s="206" t="str">
        <f>VLOOKUP([1]Start!$H$23,[1]Header_Data!$A3:$GZ32,21,FALSE)</f>
        <v>Pflichtfeld</v>
      </c>
      <c r="U5" s="206" t="str">
        <f>VLOOKUP(Start!$H$23,Header_Data!$A3:$GZ32,22,FALSE)</f>
        <v>Pflichtfeld
Bei "J", bitte rechts alle für diesen Artikel vorhandenen Barcodes angeben.</v>
      </c>
      <c r="V5" s="206" t="str">
        <f>VLOOKUP(Start!$H$23,Header_Data!$A3:$GZ32,23,FALSE)</f>
        <v>abhängiges Feld</v>
      </c>
      <c r="W5" s="206" t="str">
        <f>VLOOKUP(Start!$H$23,Header_Data!$A3:$GZ32,24,FALSE)</f>
        <v>abhängiges Feld</v>
      </c>
      <c r="X5" s="206" t="str">
        <f>VLOOKUP(Start!$H$23,Header_Data!$A3:$GZ32,25,FALSE)</f>
        <v>abhängiges Feld</v>
      </c>
      <c r="Y5" s="206" t="str">
        <f>VLOOKUP(Start!$H$23,Header_Data!$A3:$GZ32,26,FALSE)</f>
        <v>abhängiges Feld</v>
      </c>
      <c r="Z5" s="206" t="str">
        <f>VLOOKUP(Start!$H$23,Header_Data!$A3:$GZ32,27,FALSE)</f>
        <v>abhängiges Feld</v>
      </c>
      <c r="AA5" s="206" t="str">
        <f>VLOOKUP(Start!$H$23,Header_Data!$A3:$GZ32,28,FALSE)</f>
        <v>abhängiges Feld</v>
      </c>
      <c r="AB5" s="206" t="str">
        <f>VLOOKUP(Start!$H$23,Header_Data!$A3:$GZ32,29,FALSE)</f>
        <v>abhängiges Feld</v>
      </c>
      <c r="AC5" s="206" t="str">
        <f>VLOOKUP(Start!$H$23,Header_Data!$A3:$GZ32,30,FALSE)</f>
        <v>abhängiges Feld</v>
      </c>
      <c r="AD5" s="206" t="str">
        <f>VLOOKUP(Start!$H$23,Header_Data!$A3:$GZ32,31,FALSE)</f>
        <v>abhängiges Feld</v>
      </c>
      <c r="AE5" s="206" t="str">
        <f>VLOOKUP(Start!$H$23,Header_Data!$A3:$GZ32,32,FALSE)</f>
        <v>abhängiges Feld</v>
      </c>
      <c r="AF5" s="206" t="str">
        <f>VLOOKUP(Start!$H$23,Header_Data!$A3:$GZ32,33,FALSE)</f>
        <v>Pflichtfeld 
Wenn "J", bitte Code eingeben und das folgende (graue) Feld ausfüllen</v>
      </c>
      <c r="AG5" s="206" t="str">
        <f>VLOOKUP(Start!$H$23,Header_Data!$A3:$GZ32,34,FALSE)</f>
        <v>abhängiges Feld</v>
      </c>
      <c r="AH5" s="206" t="str">
        <f>VLOOKUP(Start!$H$23,Header_Data!$A3:$GZ32,35,FALSE)</f>
        <v xml:space="preserve">Pflichtfeld 
</v>
      </c>
      <c r="AI5" s="206" t="str">
        <f>VLOOKUP(Start!$H$23,Header_Data!$A3:$GZ32,36,FALSE)</f>
        <v>Pflichtfeld</v>
      </c>
      <c r="AJ5" s="206" t="str">
        <f>VLOOKUP(Start!$H$23,Header_Data!$A3:$GZ32,37,FALSE)</f>
        <v>Pflichtfeld</v>
      </c>
      <c r="AK5" s="206" t="str">
        <f>VLOOKUP([1]Start!$H$23,[1]Header_Data!$A3:$GZ32,38,FALSE)</f>
        <v>Pflichtfeld 
Wenn "N", bitte auch das folgende Feld ausfüllen (graue Spaltenüberschrift).</v>
      </c>
      <c r="AL5" s="206" t="str">
        <f>VLOOKUP([1]Start!$H$23,[1]Header_Data!$A3:$GZ32,39,FALSE)</f>
        <v>abhängiges Feld</v>
      </c>
      <c r="AM5" s="206" t="str">
        <f>VLOOKUP(Start!$H$23,Header_Data!$A3:$GZ32,40,FALSE)</f>
        <v>Pflichtfeld 
Wenn "J", bitte auch das folgende Feld ausfüllen (graue Spaltenüberschrift).</v>
      </c>
      <c r="AN5" s="206" t="str">
        <f>VLOOKUP(Start!$H$23,Header_Data!$A3:$GZ32,41,FALSE)</f>
        <v>abhängiges Feld</v>
      </c>
      <c r="AO5" s="206" t="str">
        <f>VLOOKUP(Start!$H$23,Header_Data!$A3:$GZ32,42,FALSE)</f>
        <v>Pflichtfeld 
Wenn "J", bitte auch die folgenden Felder ausfüllen (graue Spaltenüberschriften).</v>
      </c>
      <c r="AP5" s="206" t="str">
        <f>VLOOKUP(Start!$H$23,Header_Data!$A3:$GZ32,43,FALSE)</f>
        <v>abhängiges Feld</v>
      </c>
      <c r="AQ5" s="206" t="str">
        <f>VLOOKUP(Start!$H$23,Header_Data!$A3:$GZ32,44,FALSE)</f>
        <v>abhängiges Feld</v>
      </c>
      <c r="AR5" s="206" t="str">
        <f>VLOOKUP(Start!$H$23,Header_Data!$A3:$GZ32,45,FALSE)</f>
        <v>abhängiges Feld</v>
      </c>
      <c r="AS5" s="206" t="str">
        <f>VLOOKUP(Start!$H$23,Header_Data!$A3:$GZ32,46,FALSE)</f>
        <v>abhängiges Feld</v>
      </c>
      <c r="AT5" s="206" t="str">
        <f>VLOOKUP(Start!$H$23,Header_Data!$A3:$GZ32,47,FALSE)</f>
        <v>abhängiges Feld</v>
      </c>
      <c r="AU5" s="206" t="str">
        <f>VLOOKUP(Start!$H$23,Header_Data!$A3:$GZ32,48,FALSE)</f>
        <v>abhängiges Feld</v>
      </c>
      <c r="AV5" s="206" t="str">
        <f>VLOOKUP(Start!$H$23,Header_Data!$A3:$GZ32,49,FALSE)</f>
        <v>Pflichtfeld 
Wenn "J", bitte auch die folgenden Felder ausfüllen (graue Spaltenüberschriften).</v>
      </c>
      <c r="AW5" s="206" t="str">
        <f>VLOOKUP(Start!$H$23,Header_Data!$A3:$GZ32,50,FALSE)</f>
        <v>abhängiges Feld</v>
      </c>
      <c r="AX5" s="206" t="str">
        <f>VLOOKUP(Start!$H$23,Header_Data!$A3:$GZ32,51,FALSE)</f>
        <v>abhängiges Feld</v>
      </c>
      <c r="AY5" s="206" t="str">
        <f>VLOOKUP(Start!$H$23,Header_Data!$A3:$GZ32,52,FALSE)</f>
        <v>abhängiges Feld</v>
      </c>
      <c r="AZ5" s="206" t="str">
        <f>VLOOKUP(Start!$H$23,Header_Data!$A3:$GZ32,53,FALSE)</f>
        <v>abhängiges Feld</v>
      </c>
      <c r="BA5" s="206" t="str">
        <f>VLOOKUP(Start!$H$23,Header_Data!$A3:$GZ32,54,FALSE)</f>
        <v>abhängiges Feld</v>
      </c>
      <c r="BB5" s="206" t="str">
        <f>VLOOKUP(Start!$H$23,Header_Data!$A3:$GZ32,55,FALSE)</f>
        <v>abhängiges Feld</v>
      </c>
      <c r="BC5" s="206" t="str">
        <f>VLOOKUP(Start!$H$23,Header_Data!$A3:$GZ32,56,FALSE)</f>
        <v>abhängiges Feld</v>
      </c>
      <c r="BD5" s="206" t="str">
        <f>VLOOKUP(Start!$H$23,Header_Data!$A3:$GZ32,57,FALSE)</f>
        <v>abhängiges Feld</v>
      </c>
      <c r="BE5" s="206" t="str">
        <f>VLOOKUP(Start!$H$23,Header_Data!$A3:$GZ32,58,FALSE)</f>
        <v>abhängiges Feld</v>
      </c>
      <c r="BF5" s="206" t="str">
        <f>VLOOKUP(Start!$H$23,Header_Data!$A3:$GZ32,59,FALSE)</f>
        <v>abhängiges Feld</v>
      </c>
      <c r="BG5" s="206" t="str">
        <f>VLOOKUP(Start!$H$23,Header_Data!$A3:$GZ32,60,FALSE)</f>
        <v>abhängiges Feld</v>
      </c>
      <c r="BH5" s="206" t="str">
        <f>VLOOKUP([1]Start!$H$23,[1]Header_Data!$A3:$GZ32,61,FALSE)</f>
        <v>Pflichtfeld 
Wenn "J", bitte auch die folgenden Felder ausfüllen (graue Spaltenüberschriften) sowie Spalte 181 ff.</v>
      </c>
      <c r="BI5" s="206" t="str">
        <f>VLOOKUP([1]Start!$H$23,[1]Header_Data!$A3:$GZ32,62,FALSE)</f>
        <v>abhängiges Feld</v>
      </c>
      <c r="BJ5" s="206" t="str">
        <f>VLOOKUP([1]Start!$H$23,[1]Header_Data!$A3:$GZ32,63,FALSE)</f>
        <v>abhängiges Feld</v>
      </c>
      <c r="BK5" s="206" t="str">
        <f>VLOOKUP([1]Start!$H$23,[1]Header_Data!$A3:$GZ32,64,FALSE)</f>
        <v>abhängiges Feld</v>
      </c>
      <c r="BL5" s="206" t="str">
        <f>VLOOKUP([1]Start!$H$23,[1]Header_Data!$A3:$GZ32,65,FALSE)</f>
        <v>Pflichtfeld 
Wenn "J", bitte auch das folgende Feld ausfüllen (graue Spaltenüberschrift).</v>
      </c>
      <c r="BM5" s="206" t="str">
        <f>VLOOKUP([1]Start!$H$23,[1]Header_Data!$A3:$GZ32,66,FALSE)</f>
        <v>abhängiges Feld</v>
      </c>
      <c r="BN5" s="206" t="str">
        <f>VLOOKUP([1]Start!$H$23,[1]Header_Data!$A3:$GZ32,67,FALSE)</f>
        <v>Pflichtfeld 
Wenn "J", bitte auch das folgende Feld ausfüllen (graue Spaltenüberschrift).</v>
      </c>
      <c r="BO5" s="206" t="str">
        <f>VLOOKUP([1]Start!$H$23,[1]Header_Data!$A3:$GZ32,68,FALSE)</f>
        <v>abhängiges Feld</v>
      </c>
      <c r="BP5" s="206" t="str">
        <f>VLOOKUP([1]Start!$H$23,[1]Header_Data!$A3:$GZ32,69,FALSE)</f>
        <v>Pflichtfeld</v>
      </c>
      <c r="BQ5" s="206" t="str">
        <f>VLOOKUP([1]Start!$H$23,[1]Header_Data!$A3:$GZ32,70,FALSE)</f>
        <v>Pflichtfeld</v>
      </c>
      <c r="BR5" s="206" t="str">
        <f>VLOOKUP(Start!$H$23,Header_Data!$A3:$GZ32,71,FALSE)</f>
        <v>Pflichtfeld</v>
      </c>
      <c r="BS5" s="206" t="str">
        <f>VLOOKUP(Start!$H$23,Header_Data!$A3:$GZ32,72,FALSE)</f>
        <v>Pflichtfeld 
Wenn "J", bitte auch die folgenden Felder ausfüllen (graue Spaltenüberschriften).</v>
      </c>
      <c r="BT5" s="206" t="str">
        <f>VLOOKUP(Start!$H$23,Header_Data!$A3:$GZ32,73,FALSE)</f>
        <v>abhängiges Feld</v>
      </c>
      <c r="BU5" s="206" t="str">
        <f>VLOOKUP(Start!$H$23,Header_Data!$A3:$GZ32,74,FALSE)</f>
        <v>abhängiges Feld</v>
      </c>
      <c r="BV5" s="206" t="str">
        <f>VLOOKUP(Start!$H$23,Header_Data!$A3:$GZ32,75,FALSE)</f>
        <v>Pflichtfeld 
Wenn "J", bitte auch die folgenden Felder ausfüllen (graue Spaltenüberschriften).</v>
      </c>
      <c r="BW5" s="206" t="str">
        <f>VLOOKUP(Start!$H$23,Header_Data!$A3:$GZ32,76,FALSE)</f>
        <v>abhängiges Feld</v>
      </c>
      <c r="BX5" s="206" t="str">
        <f>VLOOKUP(Start!$H$23,Header_Data!$A3:$GZ32,77,FALSE)</f>
        <v>abhängiges Feld</v>
      </c>
      <c r="BY5" s="206" t="str">
        <f>VLOOKUP(Start!$H$23,Header_Data!$A3:$GZ32,78,FALSE)</f>
        <v>abhängiges Feld</v>
      </c>
      <c r="BZ5" s="206" t="str">
        <f>VLOOKUP(Start!$H$23,Header_Data!$A3:$GZ32,79,FALSE)</f>
        <v>abhängiges Feld</v>
      </c>
      <c r="CA5" s="206" t="str">
        <f>VLOOKUP(Start!$H$23,Header_Data!$A3:$GZ32,80,FALSE)</f>
        <v>abhängiges Feld</v>
      </c>
      <c r="CB5" s="206" t="str">
        <f>VLOOKUP(Start!$H$23,Header_Data!$A3:$GZ32,81,FALSE)</f>
        <v>abhängiges Feld</v>
      </c>
      <c r="CC5" s="206" t="str">
        <f>VLOOKUP(Start!$H$23,Header_Data!$A3:$GZ32,82,FALSE)</f>
        <v>abhängiges Feld</v>
      </c>
      <c r="CD5" s="206" t="str">
        <f>VLOOKUP(Start!$H$23,Header_Data!$A3:$GZ32,83,FALSE)</f>
        <v>abhängiges Feld</v>
      </c>
      <c r="CE5" s="206" t="str">
        <f>VLOOKUP(Start!$H$23,Header_Data!$A3:$GZ32,84,FALSE)</f>
        <v>abhängiges Feld</v>
      </c>
      <c r="CF5" s="206" t="str">
        <f>VLOOKUP(Start!$H$23,Header_Data!$A3:$GZ32,85,FALSE)</f>
        <v>abhängiges Feld</v>
      </c>
      <c r="CG5" s="206" t="str">
        <f>VLOOKUP(Start!$H$23,Header_Data!$A3:$GZ32,86,FALSE)</f>
        <v>abhängiges Feld</v>
      </c>
      <c r="CH5" s="206" t="str">
        <f>VLOOKUP(Start!$H$23,Header_Data!$A3:$GZ32,87,FALSE)</f>
        <v>abhängiges Feld</v>
      </c>
      <c r="CI5" s="206" t="str">
        <f>VLOOKUP(Start!$H$23,Header_Data!$A3:$GZ32,88,FALSE)</f>
        <v>abhängiges Feld</v>
      </c>
      <c r="CJ5" s="206" t="str">
        <f>VLOOKUP(Start!$H$23,Header_Data!$A3:$GZ32,89,FALSE)</f>
        <v>abhängiges Feld</v>
      </c>
      <c r="CK5" s="206" t="str">
        <f>VLOOKUP(Start!$H$23,Header_Data!$A3:$GZ32,90,FALSE)</f>
        <v>abhängiges Feld</v>
      </c>
      <c r="CL5" s="206" t="str">
        <f>VLOOKUP(Start!$H$23,Header_Data!$A3:$GZ32,91,FALSE)</f>
        <v>abhängiges Feld</v>
      </c>
      <c r="CM5" s="206" t="str">
        <f>VLOOKUP(Start!$H$23,Header_Data!$A3:$GZ32,92,FALSE)</f>
        <v>abhängiges Feld</v>
      </c>
      <c r="CN5" s="206" t="str">
        <f>VLOOKUP(Start!$H$23,Header_Data!$A3:$GZ32,93,FALSE)</f>
        <v>Pflichtfeld</v>
      </c>
      <c r="CO5" s="206" t="str">
        <f>VLOOKUP(Start!$H$23,Header_Data!$A3:$GZ32,94,FALSE)</f>
        <v>Pflichtfeld 
Wenn "J", bitte auch die folgenden Felder ausfüllen (graue Spaltenüberschriften).</v>
      </c>
      <c r="CP5" s="206" t="str">
        <f>VLOOKUP(Start!$H$23,Header_Data!$A3:$GZ32,95,FALSE)</f>
        <v>abhängiges Feld</v>
      </c>
      <c r="CQ5" s="206" t="str">
        <f>VLOOKUP(Start!$H$23,Header_Data!$A3:$GZ32,96,FALSE)</f>
        <v>abhängiges Feld</v>
      </c>
      <c r="CR5" s="206" t="str">
        <f>VLOOKUP(Start!$H$23,Header_Data!$A3:$GZ32,97,FALSE)</f>
        <v>abhängiges Feld</v>
      </c>
      <c r="CS5" s="206" t="str">
        <f>VLOOKUP([1]Start!$H$23,[1]Header_Data!$A3:$GZ32,98,FALSE)</f>
        <v>Pflichtfeld 
Wenn "J", bitte auch die folgenden Felder ausfüllen (graue Spaltenüberschriften).</v>
      </c>
      <c r="CT5" s="206" t="str">
        <f>VLOOKUP([1]Start!$H$23,[1]Header_Data!$A3:$GZ32,99,FALSE)</f>
        <v>abhängiges Feld</v>
      </c>
      <c r="CU5" s="206" t="str">
        <f>VLOOKUP([1]Start!$H$23,[1]Header_Data!$A3:$GZ32,100,FALSE)</f>
        <v>abhängiges Feld</v>
      </c>
      <c r="CV5" s="206" t="str">
        <f>VLOOKUP([1]Start!$H$23,[1]Header_Data!$A3:$GZ32,102,FALSE)</f>
        <v>abhängiges Feld</v>
      </c>
      <c r="CW5" s="206" t="str">
        <f>VLOOKUP([1]Start!$H$23,[1]Header_Data!$A3:$GZ32,102,FALSE)</f>
        <v>abhängiges Feld</v>
      </c>
      <c r="CX5" s="206" t="str">
        <f>VLOOKUP([1]Start!$H$23,[1]Header_Data!$A3:$GZ32,103,FALSE)</f>
        <v>abhängiges Feld</v>
      </c>
      <c r="CY5" s="206" t="str">
        <f>VLOOKUP([1]Start!$H$23,[1]Header_Data!$A3:$GZ32,104,FALSE)</f>
        <v>abhängiges Feld</v>
      </c>
      <c r="CZ5" s="206" t="str">
        <f>VLOOKUP([1]Start!$H$23,[1]Header_Data!$A3:$GZ32,105,FALSE)</f>
        <v>abhängiges Feld</v>
      </c>
      <c r="DA5" s="206" t="str">
        <f>VLOOKUP([1]Start!$H$23,[1]Header_Data!$A3:$GZ32,106,FALSE)</f>
        <v>Pflichtfeld 
Wenn "J", bitte auch das folgende Feld ausfüllen (graue Spaltenüberschrift).</v>
      </c>
      <c r="DB5" s="206" t="str">
        <f>VLOOKUP([1]Start!$H$23,[1]Header_Data!$A3:$GZ32,107,FALSE)</f>
        <v>abhängiges Feld</v>
      </c>
      <c r="DC5" s="206" t="str">
        <f>VLOOKUP([1]Start!$H$23,[1]Header_Data!$A3:$GZ32,108,FALSE)</f>
        <v>Pflichtfeld 
Wenn "J", bitte auch die folgenden Felder ausfüllen (graue Spaltenüberschriften).</v>
      </c>
      <c r="DD5" s="206" t="str">
        <f>VLOOKUP([1]Start!$H$23,[1]Header_Data!$A3:$GZ32,110,FALSE)</f>
        <v>abhängiges Feld</v>
      </c>
      <c r="DE5" s="206" t="str">
        <f>VLOOKUP([1]Start!$H$23,[1]Header_Data!$A3:$GZ32,110,FALSE)</f>
        <v>abhängiges Feld</v>
      </c>
      <c r="DF5" s="206" t="str">
        <f>VLOOKUP([1]Start!$H$23,[1]Header_Data!$A3:$GZ32,111,FALSE)</f>
        <v>Pflichtfeld 
Wenn "J", bitte auch die folgenden Felder ausfüllen (graue Spaltenüberschriften)</v>
      </c>
      <c r="DG5" s="206" t="str">
        <f>VLOOKUP([1]Start!$H$23,[1]Header_Data!$A3:$GZ32,112,FALSE)</f>
        <v>abhängiges Feld</v>
      </c>
      <c r="DH5" s="206" t="str">
        <f>VLOOKUP([1]Start!$H$23,[1]Header_Data!$A3:$GZ32,113,FALSE)</f>
        <v>abhängiges Feld</v>
      </c>
      <c r="DI5" s="206" t="str">
        <f>VLOOKUP([1]Start!$H$23,[1]Header_Data!$A3:$GZ32,114,FALSE)</f>
        <v>abhängiges Feld</v>
      </c>
      <c r="DJ5" s="206" t="str">
        <f>VLOOKUP([1]Start!$H$23,[1]Header_Data!$A3:$GZ32,115,FALSE)</f>
        <v>abhängiges Feld</v>
      </c>
      <c r="DK5" s="206" t="str">
        <f>VLOOKUP([1]Start!$H$23,[1]Header_Data!$A3:$GZ32,116,FALSE)</f>
        <v>Pflichtfeld 
Wenn "J", bitte auch die folgenden Felder ausfüllen (graue Spaltenüberschriften).</v>
      </c>
      <c r="DL5" s="206" t="str">
        <f>VLOOKUP([1]Start!$H$23,[1]Header_Data!$A3:$GZ32,117,FALSE)</f>
        <v>abhängiges Feld</v>
      </c>
      <c r="DM5" s="206" t="str">
        <f>VLOOKUP([1]Start!$H$23,[1]Header_Data!$A3:$GZ32,118,FALSE)</f>
        <v>abhängiges Feld</v>
      </c>
      <c r="DN5" s="206" t="str">
        <f>VLOOKUP([1]Start!$H$23,[1]Header_Data!$A3:$GZ32,119,FALSE)</f>
        <v>abhängiges Feld</v>
      </c>
      <c r="DO5" s="206" t="str">
        <f>VLOOKUP([1]Start!$H$23,[1]Header_Data!$A3:$GZ32,120,FALSE)</f>
        <v>abhängiges Feld</v>
      </c>
      <c r="DP5" s="206" t="str">
        <f>VLOOKUP(Start!$H$23,Header_Data!$A3:$GZ32,121,FALSE)</f>
        <v>Pflichtfeld - Bitte die Felder 34.1 -34.6. komplett ausfüllen, wenn Antwort "N" oder wenn der Artikel auch außerhalb DE zugelassen ist.</v>
      </c>
      <c r="DQ5" s="206" t="str">
        <f>VLOOKUP(Start!$H$23,Header_Data!$A3:$GZ32,122,FALSE)</f>
        <v>abhängiges Feld</v>
      </c>
      <c r="DR5" s="206" t="str">
        <f>VLOOKUP(Start!$H$23,Header_Data!$A3:$GZ32,123,FALSE)</f>
        <v>abhängiges Feld</v>
      </c>
      <c r="DS5" s="206" t="str">
        <f>VLOOKUP(Start!$H$23,Header_Data!$A3:$GZ32,124,FALSE)</f>
        <v>abhängiges Feld</v>
      </c>
      <c r="DT5" s="206" t="str">
        <f>VLOOKUP(Start!$H$23,Header_Data!$A3:$GZ32,125,FALSE)</f>
        <v>abhängiges Feld</v>
      </c>
      <c r="DU5" s="206" t="str">
        <f>VLOOKUP(Start!$H$23,Header_Data!$A3:$GZ32,126,FALSE)</f>
        <v>abhängiges Feld</v>
      </c>
      <c r="DV5" s="206" t="str">
        <f>VLOOKUP(Start!$H$23,Header_Data!$A3:$GZ32,127,FALSE)</f>
        <v>abhängiges Feld</v>
      </c>
      <c r="DW5" s="206" t="str">
        <f>VLOOKUP(Start!$H$23,Header_Data!$A3:$GZ32,128,FALSE)</f>
        <v>abhängiges Feld</v>
      </c>
      <c r="DX5" s="206" t="str">
        <f>VLOOKUP(Start!$H$23,Header_Data!$A3:$GZ32,129,FALSE)</f>
        <v>abhängiges Feld</v>
      </c>
      <c r="DY5" s="206" t="str">
        <f>VLOOKUP(Start!$H$23,Header_Data!$A3:$GZ32,130,FALSE)</f>
        <v>abhängiges Feld</v>
      </c>
      <c r="DZ5" s="206" t="str">
        <f>VLOOKUP(Start!$H$23,Header_Data!$A3:$GZ32,131,FALSE)</f>
        <v>abhängiges Feld</v>
      </c>
      <c r="EA5" s="206" t="str">
        <f>VLOOKUP(Start!$H$23,Header_Data!$A3:$GZ32,132,FALSE)</f>
        <v>abhängiges Feld</v>
      </c>
      <c r="EB5" s="206" t="str">
        <f>VLOOKUP(Start!$H$23,Header_Data!$A3:$GZ32,133,FALSE)</f>
        <v>abhängiges Feld</v>
      </c>
      <c r="EC5" s="206" t="str">
        <f>VLOOKUP(Start!$H$23,Header_Data!$A3:$GZ32,134,FALSE)</f>
        <v>abhängiges Feld</v>
      </c>
      <c r="ED5" s="206" t="str">
        <f>VLOOKUP(Start!$H$23,Header_Data!$A3:$GZ32,135,FALSE)</f>
        <v>abhängiges Feld</v>
      </c>
      <c r="EE5" s="206" t="str">
        <f>VLOOKUP(Start!$H$23,Header_Data!$A3:$GZ32,136,FALSE)</f>
        <v>abhängiges Feld</v>
      </c>
      <c r="EF5" s="206" t="str">
        <f>VLOOKUP(Start!$H$23,Header_Data!$A3:$GZ32,137,FALSE)</f>
        <v>abhängiges Feld</v>
      </c>
      <c r="EG5" s="206" t="str">
        <f>VLOOKUP(Start!$H$23,Header_Data!$A3:$GZ32,138,FALSE)</f>
        <v>abhängiges Feld</v>
      </c>
      <c r="EH5" s="206" t="str">
        <f>VLOOKUP(Start!$H$23,Header_Data!$A3:$GZ32,139,FALSE)</f>
        <v>abhängiges Feld</v>
      </c>
      <c r="EI5" s="206" t="str">
        <f>VLOOKUP(Start!$H$23,Header_Data!$A3:$GZ32,140,FALSE)</f>
        <v>abhängiges Feld</v>
      </c>
      <c r="EJ5" s="206" t="str">
        <f>VLOOKUP(Start!$H$23,Header_Data!$A3:$GZ32,141,FALSE)</f>
        <v>abhängiges Feld</v>
      </c>
      <c r="EK5" s="206" t="str">
        <f>VLOOKUP(Start!$H$23,Header_Data!$A3:$GZ32,142,FALSE)</f>
        <v>abhängiges Feld</v>
      </c>
      <c r="EL5" s="206" t="str">
        <f>VLOOKUP(Start!$H$23,Header_Data!$A3:$GZ32,143,FALSE)</f>
        <v>Pflichtfeld</v>
      </c>
      <c r="EM5" s="206" t="str">
        <f>VLOOKUP(Start!$H$23,Header_Data!$A3:$GZ32,144,FALSE)</f>
        <v>Pflichtfeld</v>
      </c>
      <c r="EN5" s="206" t="str">
        <f>VLOOKUP(Start!$H$23,Header_Data!$A3:$GZ32,145,FALSE)</f>
        <v>Pflichtfeld</v>
      </c>
      <c r="EO5" s="206" t="str">
        <f>VLOOKUP(Start!$H$23,Header_Data!$A3:$GZ32,146,FALSE)</f>
        <v>Pflichtfeld</v>
      </c>
      <c r="EP5" s="206" t="str">
        <f>VLOOKUP(Start!$H$23,Header_Data!$A3:$GZ32,147,FALSE)</f>
        <v>Pflichtfeld</v>
      </c>
      <c r="EQ5" s="206" t="str">
        <f>VLOOKUP(Start!$H$23,Header_Data!$A3:$GZ32,148,FALSE)</f>
        <v>Pflichtfeld</v>
      </c>
      <c r="ER5" s="206" t="str">
        <f>VLOOKUP(Start!$H$23,Header_Data!$A3:$GZ32,149,FALSE)</f>
        <v>Pflichtfeld</v>
      </c>
      <c r="ES5" s="206" t="str">
        <f>VLOOKUP(Start!$H$23,Header_Data!$A3:$GZ32,150,FALSE)</f>
        <v>Pflichtfeld 
Wenn "J", bitte die folgenden Felder (graue Spaltenüberschriften) ausfüllen.</v>
      </c>
      <c r="ET5" s="206" t="str">
        <f>VLOOKUP(Start!$H$23,Header_Data!$A3:$GZ32,151,FALSE)</f>
        <v>abhängiges Feld</v>
      </c>
      <c r="EU5" s="206" t="str">
        <f>VLOOKUP(Start!$H$23,Header_Data!$A3:$GZ32,152,FALSE)</f>
        <v>abhängiges Feld</v>
      </c>
      <c r="EV5" s="206" t="str">
        <f>VLOOKUP(Start!$H$23,Header_Data!$A3:$GZ32,153,FALSE)</f>
        <v>abhängiges Feld</v>
      </c>
      <c r="EW5" s="206" t="str">
        <f>VLOOKUP(Start!$H$23,Header_Data!$A3:$GZ32,154,FALSE)</f>
        <v>abhängiges Feld</v>
      </c>
      <c r="EX5" s="206" t="str">
        <f>VLOOKUP(Start!$H$23,Header_Data!$A3:$GZ32,155,FALSE)</f>
        <v>abhängiges Feld</v>
      </c>
      <c r="EY5" s="206" t="str">
        <f>VLOOKUP(Start!$H$23,Header_Data!$A3:$GZ32,156,FALSE)</f>
        <v>abhängiges Feld</v>
      </c>
      <c r="EZ5" s="206" t="str">
        <f>VLOOKUP(Start!$H$23,Header_Data!$A3:$GZ32,157,FALSE)</f>
        <v>abhängiges Feld</v>
      </c>
      <c r="FA5" s="206" t="str">
        <f>VLOOKUP(Start!$H$23,Header_Data!$A3:$GZ32,158,FALSE)</f>
        <v>Pflichtfeld 
Wenn "J", bitte auch die folgenden Felder ausfüllen (graue Spaltenüberschriften).</v>
      </c>
      <c r="FB5" s="206" t="str">
        <f>VLOOKUP(Start!$H$23,Header_Data!$A3:$GZ32,159,FALSE)</f>
        <v>abhängiges Feld</v>
      </c>
      <c r="FC5" s="206" t="str">
        <f>VLOOKUP(Start!$H$23,Header_Data!$A3:$GZ32,160,FALSE)</f>
        <v>abhängiges Feld</v>
      </c>
      <c r="FD5" s="206" t="str">
        <f>VLOOKUP(Start!$H$23,Header_Data!$A3:$GZ32,161,FALSE)</f>
        <v>abhängiges Feld</v>
      </c>
      <c r="FE5" s="206" t="str">
        <f>VLOOKUP(Start!$H$23,Header_Data!$A3:$GZ32,162,FALSE)</f>
        <v>Pflichtfeld</v>
      </c>
      <c r="FF5" s="206" t="str">
        <f>VLOOKUP([1]Start!$H$23,[1]Header_Data!$A3:$GZ32,163,FALSE)</f>
        <v>Pflichtfeld</v>
      </c>
      <c r="FG5" s="206" t="str">
        <f>VLOOKUP(Start!$H$23,Header_Data!$A3:$GZ32,164,FALSE)</f>
        <v>Pflichtfeld</v>
      </c>
      <c r="FH5" s="206" t="str">
        <f>VLOOKUP(Start!$H$23,Header_Data!$A3:$GZ32,165,FALSE)</f>
        <v>Pflichtfeld</v>
      </c>
      <c r="FI5" s="206" t="str">
        <f>VLOOKUP(Start!$H$23,Header_Data!$A3:$GZ32,166,FALSE)</f>
        <v>Pflichtfeld</v>
      </c>
      <c r="FJ5" s="206" t="str">
        <f>VLOOKUP(Start!$H$23,Header_Data!$A3:$GZ32,167,FALSE)</f>
        <v>Kannfeld</v>
      </c>
      <c r="FK5" s="206" t="str">
        <f>VLOOKUP(Start!$H$23,Header_Data!$A3:$GZ32,168,FALSE)</f>
        <v>abhängiges Feld</v>
      </c>
      <c r="FL5" s="206" t="str">
        <f>VLOOKUP(Start!$H$23,Header_Data!$A3:$GZ32,169,FALSE)</f>
        <v>Pflichtfeld</v>
      </c>
      <c r="FM5" s="206" t="str">
        <f>VLOOKUP(Start!$H$23,Header_Data!$A3:$GZ32,170,FALSE)</f>
        <v>Pflichtfeld
Bitte Besonderheiten aufführen bzw. bei Anhängen die Dateinamen in den folgenden Feldern eintragen (graue Spaltenüberschriften).</v>
      </c>
      <c r="FN5" s="206" t="str">
        <f>VLOOKUP(Start!$H$23,Header_Data!$A3:$GZ32,171,FALSE)</f>
        <v>abhängiges Feld, wenn ein SET vorliegt, bitte alle relvanten SDB durch "/" getrennt aufführen</v>
      </c>
      <c r="FO5" s="206" t="str">
        <f>VLOOKUP(Start!$H$23,Header_Data!$A3:$GZ32,172,FALSE)</f>
        <v>abhängiges Feld, wenn ein SET vorliegt, bitte alle relvanten Bilder durch "/" getrennt aufführen</v>
      </c>
      <c r="FP5" s="206" t="str">
        <f>VLOOKUP(Start!$H$23,Header_Data!$A3:$GZ32,173,FALSE)</f>
        <v>abhängiges Feld, wenn ein SET vorliegt, bitte Name der Stückliste oder Produktbeschreibung angeben</v>
      </c>
      <c r="FQ5" s="206" t="str">
        <f>VLOOKUP(Start!$H$23,Header_Data!$A3:$GZ32,174,FALSE)</f>
        <v>abhängiges Feld</v>
      </c>
      <c r="FR5" s="206" t="str">
        <f>VLOOKUP([1]Start!$H$23,[1]Header_Data!$A3:$GZ32,175,FALSE)</f>
        <v>abhängiges Feld</v>
      </c>
      <c r="FS5" s="206" t="str">
        <f>VLOOKUP(Start!$H$23,Header_Data!$A3:$GZ32,176,FALSE)</f>
        <v>Pflichtfeld 
Wenn "J", bitte auch die folgenden Felder ausfüllen (graue Spaltenüberschriften).</v>
      </c>
      <c r="FT5" s="206" t="str">
        <f>VLOOKUP(Start!$H$23,Header_Data!$A3:$GZ32,177,FALSE)</f>
        <v>abhängiges Feld</v>
      </c>
      <c r="FU5" s="206" t="str">
        <f>VLOOKUP([1]Start!$H$23,[1]Header_Data!$A3:$GZ32,178,FALSE)</f>
        <v>Pflichtfeld 
Wenn "J", bitte auch die folgenden Felder ausfüllen (graue Spaltenüberschriften).</v>
      </c>
      <c r="FV5" s="206" t="str">
        <f>VLOOKUP([1]Start!$H$23,[1]Header_Data!$A3:$GZ32,179,FALSE)</f>
        <v>abhängiges Feld</v>
      </c>
      <c r="FW5" s="206" t="str">
        <f>VLOOKUP([1]Start!$H$23,[1]Header_Data!$A3:$GZ32,180,FALSE)</f>
        <v>Pflichtfeld 
Wenn "J", bitte in 47.1. alle relevanten SDB aufführen und in 47.3. Name der Stückliste/ Produktbeschreibung angeben</v>
      </c>
      <c r="FX5" s="206" t="s">
        <v>41</v>
      </c>
      <c r="FY5" s="206" t="str">
        <f>VLOOKUP([1]Start!$H$23,[1]Header_Data!$A3:$GZ32,181,FALSE)</f>
        <v>abhängiges Feld</v>
      </c>
      <c r="FZ5" s="206" t="str">
        <f>VLOOKUP([1]Start!$H$23,[1]Header_Data!$A3:$GZ32,182,FALSE)</f>
        <v>abhängiges Feld</v>
      </c>
      <c r="GA5" s="206" t="str">
        <f>VLOOKUP([1]Start!$H$23,[1]Header_Data!$A3:$GZ32,183,FALSE)</f>
        <v>abhängiges Feld</v>
      </c>
      <c r="GB5" s="206" t="str">
        <f>VLOOKUP([1]Start!$H$23,[1]Header_Data!$A3:$GZ32,184,FALSE)</f>
        <v>abhängiges Feld</v>
      </c>
      <c r="GC5" s="206" t="s">
        <v>41</v>
      </c>
    </row>
    <row r="6" spans="1:185" s="207" customFormat="1" ht="17.25" customHeight="1" x14ac:dyDescent="0.3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  <c r="FI6" s="206"/>
      <c r="FJ6" s="206"/>
      <c r="FK6" s="206"/>
      <c r="FL6" s="206"/>
      <c r="FM6" s="206"/>
      <c r="FN6" s="206"/>
      <c r="FO6" s="206"/>
      <c r="FP6" s="206"/>
      <c r="FQ6" s="206"/>
      <c r="FR6" s="206"/>
      <c r="FS6" s="206"/>
      <c r="FT6" s="206"/>
    </row>
    <row r="7" spans="1:185" s="240" customFormat="1" ht="42" customHeight="1" x14ac:dyDescent="0.3">
      <c r="A7" s="225" t="s">
        <v>12</v>
      </c>
      <c r="B7" s="214" t="s">
        <v>13</v>
      </c>
      <c r="C7" s="226" t="s">
        <v>14</v>
      </c>
      <c r="D7" s="105" t="s">
        <v>15</v>
      </c>
      <c r="E7" s="227">
        <v>2958465</v>
      </c>
      <c r="F7" s="214" t="s">
        <v>16</v>
      </c>
      <c r="G7" s="214">
        <v>6789</v>
      </c>
      <c r="H7" s="227">
        <v>47484</v>
      </c>
      <c r="I7" s="227">
        <v>47484</v>
      </c>
      <c r="J7" s="214" t="s">
        <v>17</v>
      </c>
      <c r="K7" s="214" t="s">
        <v>16</v>
      </c>
      <c r="L7" s="214"/>
      <c r="M7" s="214"/>
      <c r="N7" s="214" t="s">
        <v>18</v>
      </c>
      <c r="O7" s="214">
        <v>12345</v>
      </c>
      <c r="P7" s="214" t="s">
        <v>19</v>
      </c>
      <c r="Q7" s="214" t="s">
        <v>18</v>
      </c>
      <c r="R7" s="214">
        <v>12345</v>
      </c>
      <c r="S7" s="214" t="s">
        <v>20</v>
      </c>
      <c r="T7" s="214" t="s">
        <v>16</v>
      </c>
      <c r="U7" s="214" t="s">
        <v>21</v>
      </c>
      <c r="V7" s="228">
        <v>4054596540835</v>
      </c>
      <c r="W7" s="220"/>
      <c r="X7" s="220"/>
      <c r="Y7" s="220"/>
      <c r="Z7" s="220"/>
      <c r="AA7" s="220"/>
      <c r="AB7" s="220"/>
      <c r="AC7" s="220"/>
      <c r="AD7" s="220"/>
      <c r="AE7" s="220"/>
      <c r="AF7" s="220" t="s">
        <v>16</v>
      </c>
      <c r="AG7" s="220"/>
      <c r="AH7" s="220" t="s">
        <v>22</v>
      </c>
      <c r="AI7" s="220" t="s">
        <v>23</v>
      </c>
      <c r="AJ7" s="220" t="s">
        <v>16</v>
      </c>
      <c r="AK7" s="220"/>
      <c r="AL7" s="220"/>
      <c r="AM7" s="220" t="s">
        <v>21</v>
      </c>
      <c r="AN7" s="220" t="s">
        <v>24</v>
      </c>
      <c r="AO7" s="220" t="s">
        <v>21</v>
      </c>
      <c r="AP7" s="220">
        <v>18</v>
      </c>
      <c r="AQ7" s="220">
        <v>25</v>
      </c>
      <c r="AR7" s="220">
        <v>14</v>
      </c>
      <c r="AS7" s="220">
        <v>30</v>
      </c>
      <c r="AT7" s="220">
        <v>14</v>
      </c>
      <c r="AU7" s="220" t="s">
        <v>21</v>
      </c>
      <c r="AV7" s="220" t="s">
        <v>21</v>
      </c>
      <c r="AW7" s="220" t="s">
        <v>16</v>
      </c>
      <c r="AX7" s="220" t="s">
        <v>21</v>
      </c>
      <c r="AY7" s="220" t="s">
        <v>21</v>
      </c>
      <c r="AZ7" s="220" t="s">
        <v>21</v>
      </c>
      <c r="BA7" s="220" t="s">
        <v>21</v>
      </c>
      <c r="BB7" s="220" t="s">
        <v>16</v>
      </c>
      <c r="BC7" s="220" t="s">
        <v>16</v>
      </c>
      <c r="BD7" s="220" t="s">
        <v>16</v>
      </c>
      <c r="BE7" s="220" t="s">
        <v>16</v>
      </c>
      <c r="BF7" s="220" t="s">
        <v>20</v>
      </c>
      <c r="BG7" s="220" t="s">
        <v>25</v>
      </c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>
        <v>20</v>
      </c>
      <c r="BS7" s="220" t="s">
        <v>26</v>
      </c>
      <c r="BT7" s="239">
        <v>47484</v>
      </c>
      <c r="BU7" s="220" t="s">
        <v>16</v>
      </c>
      <c r="BV7" s="220" t="s">
        <v>16</v>
      </c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220" t="s">
        <v>21</v>
      </c>
      <c r="CO7" s="220" t="s">
        <v>21</v>
      </c>
      <c r="CP7" s="220" t="s">
        <v>21</v>
      </c>
      <c r="CQ7" s="220" t="s">
        <v>16</v>
      </c>
      <c r="CR7" s="220" t="s">
        <v>16</v>
      </c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220"/>
      <c r="DJ7" s="220"/>
      <c r="DK7" s="220"/>
      <c r="DL7" s="220"/>
      <c r="DM7" s="220"/>
      <c r="DN7" s="220"/>
      <c r="DO7" s="220"/>
      <c r="DP7" s="220" t="s">
        <v>21</v>
      </c>
      <c r="DQ7" s="220"/>
      <c r="DR7" s="220"/>
      <c r="DS7" s="220"/>
      <c r="DT7" s="220"/>
      <c r="DU7" s="220"/>
      <c r="DV7" s="220"/>
      <c r="DW7" s="220"/>
      <c r="DX7" s="220"/>
      <c r="DY7" s="220"/>
      <c r="DZ7" s="220"/>
      <c r="EA7" s="220"/>
      <c r="EB7" s="220"/>
      <c r="EC7" s="220"/>
      <c r="ED7" s="220"/>
      <c r="EE7" s="220"/>
      <c r="EF7" s="220"/>
      <c r="EG7" s="220"/>
      <c r="EH7" s="220"/>
      <c r="EI7" s="220"/>
      <c r="EJ7" s="220"/>
      <c r="EK7" s="220"/>
      <c r="EL7" s="220">
        <v>1</v>
      </c>
      <c r="EM7" s="220" t="s">
        <v>27</v>
      </c>
      <c r="EN7" s="220">
        <v>80</v>
      </c>
      <c r="EO7" s="220">
        <v>50</v>
      </c>
      <c r="EP7" s="220">
        <v>160</v>
      </c>
      <c r="EQ7" s="220">
        <v>2700</v>
      </c>
      <c r="ER7" s="220">
        <v>2500</v>
      </c>
      <c r="ES7" s="220" t="s">
        <v>21</v>
      </c>
      <c r="ET7" s="220" t="s">
        <v>21</v>
      </c>
      <c r="EU7" s="220">
        <v>2</v>
      </c>
      <c r="EV7" s="220">
        <v>384</v>
      </c>
      <c r="EW7" s="220">
        <v>175</v>
      </c>
      <c r="EX7" s="220">
        <v>164</v>
      </c>
      <c r="EY7" s="220">
        <v>5594</v>
      </c>
      <c r="EZ7" s="220">
        <v>5000</v>
      </c>
      <c r="FA7" s="220" t="s">
        <v>16</v>
      </c>
      <c r="FB7" s="220"/>
      <c r="FC7" s="220"/>
      <c r="FD7" s="220"/>
      <c r="FE7" s="220">
        <v>25010099</v>
      </c>
      <c r="FF7" s="220"/>
      <c r="FG7" s="220" t="s">
        <v>20</v>
      </c>
      <c r="FH7" s="220" t="s">
        <v>28</v>
      </c>
      <c r="FI7" s="220" t="s">
        <v>16</v>
      </c>
      <c r="FJ7" s="220">
        <v>100</v>
      </c>
      <c r="FK7" s="220" t="s">
        <v>29</v>
      </c>
      <c r="FL7" s="231">
        <v>0.19</v>
      </c>
      <c r="FM7" s="220" t="s">
        <v>30</v>
      </c>
      <c r="FN7" s="220" t="s">
        <v>31</v>
      </c>
      <c r="FO7" s="220" t="s">
        <v>32</v>
      </c>
      <c r="FP7" s="220" t="s">
        <v>33</v>
      </c>
      <c r="FQ7" s="220" t="s">
        <v>34</v>
      </c>
      <c r="FR7" s="220"/>
      <c r="FS7" s="220" t="s">
        <v>16</v>
      </c>
      <c r="FT7" s="220"/>
      <c r="FU7" s="220" t="s">
        <v>16</v>
      </c>
      <c r="FV7" s="220"/>
      <c r="FW7" s="220" t="s">
        <v>16</v>
      </c>
    </row>
    <row r="8" spans="1:185" x14ac:dyDescent="0.3">
      <c r="O8" s="111"/>
    </row>
    <row r="9" spans="1:185" x14ac:dyDescent="0.3">
      <c r="O9" s="111"/>
      <c r="V9" s="111"/>
    </row>
    <row r="10" spans="1:185" x14ac:dyDescent="0.3">
      <c r="V10" s="111"/>
    </row>
  </sheetData>
  <sheetProtection sheet="1" objects="1" scenarios="1" selectLockedCells="1"/>
  <mergeCells count="163">
    <mergeCell ref="GC2:GC3"/>
    <mergeCell ref="FN4:FR4"/>
    <mergeCell ref="FR2:FR3"/>
    <mergeCell ref="FU2:FU3"/>
    <mergeCell ref="FV2:FV3"/>
    <mergeCell ref="FW2:FW3"/>
    <mergeCell ref="FY2:FY3"/>
    <mergeCell ref="FZ2:FZ3"/>
    <mergeCell ref="GA2:GA3"/>
    <mergeCell ref="GB2:GB3"/>
    <mergeCell ref="FO2:FO3"/>
    <mergeCell ref="FP2:FP3"/>
    <mergeCell ref="FQ2:FQ3"/>
    <mergeCell ref="FS2:FS3"/>
    <mergeCell ref="FT2:FT3"/>
    <mergeCell ref="FX2:FX3"/>
    <mergeCell ref="DI2:DI3"/>
    <mergeCell ref="CT4:CV4"/>
    <mergeCell ref="DJ2:DJ3"/>
    <mergeCell ref="DK2:DK3"/>
    <mergeCell ref="DL2:DL3"/>
    <mergeCell ref="DM2:DM3"/>
    <mergeCell ref="DN2:DN3"/>
    <mergeCell ref="DO2:DO3"/>
    <mergeCell ref="FF2:FF3"/>
    <mergeCell ref="DQ4:DV4"/>
    <mergeCell ref="DX4:EC4"/>
    <mergeCell ref="EE4:EJ4"/>
    <mergeCell ref="EN4:EP4"/>
    <mergeCell ref="EQ4:ER4"/>
    <mergeCell ref="EV4:EX4"/>
    <mergeCell ref="EY4:EZ4"/>
    <mergeCell ref="DE2:DE3"/>
    <mergeCell ref="DG2:DG3"/>
    <mergeCell ref="DH2:DH3"/>
    <mergeCell ref="ES2:ES3"/>
    <mergeCell ref="ET2:ET3"/>
    <mergeCell ref="EU2:EU3"/>
    <mergeCell ref="EV2:EZ2"/>
    <mergeCell ref="FA2:FA3"/>
    <mergeCell ref="CS2:CS3"/>
    <mergeCell ref="CT2:CV2"/>
    <mergeCell ref="CW2:CW3"/>
    <mergeCell ref="CX2:CX3"/>
    <mergeCell ref="CY2:CY3"/>
    <mergeCell ref="CZ2:CZ3"/>
    <mergeCell ref="DB2:DB3"/>
    <mergeCell ref="DD2:DD3"/>
    <mergeCell ref="AP4:AS4"/>
    <mergeCell ref="CQ2:CQ3"/>
    <mergeCell ref="CR2:CR3"/>
    <mergeCell ref="CK2:CK3"/>
    <mergeCell ref="CL2:CL3"/>
    <mergeCell ref="CM2:CM3"/>
    <mergeCell ref="CN2:CN3"/>
    <mergeCell ref="CO2:CO3"/>
    <mergeCell ref="CP2:CP3"/>
    <mergeCell ref="CE2:CE3"/>
    <mergeCell ref="CF2:CF3"/>
    <mergeCell ref="CG2:CG3"/>
    <mergeCell ref="CH2:CH3"/>
    <mergeCell ref="CI2:CI3"/>
    <mergeCell ref="CJ2:CJ3"/>
    <mergeCell ref="BY2:BY3"/>
    <mergeCell ref="FI2:FI3"/>
    <mergeCell ref="FJ2:FJ3"/>
    <mergeCell ref="FK2:FK3"/>
    <mergeCell ref="FL2:FL3"/>
    <mergeCell ref="FM2:FM3"/>
    <mergeCell ref="FN2:FN3"/>
    <mergeCell ref="FC2:FC3"/>
    <mergeCell ref="FD2:FD3"/>
    <mergeCell ref="FE2:FE3"/>
    <mergeCell ref="FG2:FG3"/>
    <mergeCell ref="FH2:FH3"/>
    <mergeCell ref="FB2:FB3"/>
    <mergeCell ref="ED2:ED3"/>
    <mergeCell ref="EE2:EJ2"/>
    <mergeCell ref="EK2:EK3"/>
    <mergeCell ref="EL2:EL3"/>
    <mergeCell ref="EM2:EM3"/>
    <mergeCell ref="EN2:ER2"/>
    <mergeCell ref="DP2:DP3"/>
    <mergeCell ref="DQ2:DV2"/>
    <mergeCell ref="DW2:DW3"/>
    <mergeCell ref="DX2:EC2"/>
    <mergeCell ref="BZ2:BZ3"/>
    <mergeCell ref="CA2:CA3"/>
    <mergeCell ref="CB2:CB3"/>
    <mergeCell ref="CC2:CC3"/>
    <mergeCell ref="CD2:CD3"/>
    <mergeCell ref="BS2:BS3"/>
    <mergeCell ref="BT2:BT3"/>
    <mergeCell ref="BU2:BU3"/>
    <mergeCell ref="BV2:BV3"/>
    <mergeCell ref="BW2:BW3"/>
    <mergeCell ref="BX2:BX3"/>
    <mergeCell ref="BR2:BR3"/>
    <mergeCell ref="BG2:BG3"/>
    <mergeCell ref="BA2:BA3"/>
    <mergeCell ref="BB2:BB3"/>
    <mergeCell ref="BC2:BC3"/>
    <mergeCell ref="BD2:BD3"/>
    <mergeCell ref="BE2:BE3"/>
    <mergeCell ref="BF2:BF3"/>
    <mergeCell ref="AU2:AU3"/>
    <mergeCell ref="AV2:AV3"/>
    <mergeCell ref="AW2:AW3"/>
    <mergeCell ref="AX2:AX3"/>
    <mergeCell ref="AY2:AY3"/>
    <mergeCell ref="AZ2:AZ3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AM2:AM3"/>
    <mergeCell ref="AN2:AN3"/>
    <mergeCell ref="AO2:AO3"/>
    <mergeCell ref="AP2:AQ2"/>
    <mergeCell ref="AR2:AS2"/>
    <mergeCell ref="AT2:AT3"/>
    <mergeCell ref="AG2:AG3"/>
    <mergeCell ref="AH2:AH3"/>
    <mergeCell ref="AI2:AI3"/>
    <mergeCell ref="AJ2:AJ3"/>
    <mergeCell ref="AK2:AK3"/>
    <mergeCell ref="AL2:AL3"/>
    <mergeCell ref="AB2:AB3"/>
    <mergeCell ref="AC2:AC3"/>
    <mergeCell ref="AD2:AD3"/>
    <mergeCell ref="AE2:AE3"/>
    <mergeCell ref="AF2:AF3"/>
    <mergeCell ref="V2:V3"/>
    <mergeCell ref="W2:W3"/>
    <mergeCell ref="X2:X3"/>
    <mergeCell ref="Y2:Y3"/>
    <mergeCell ref="Z2:Z3"/>
    <mergeCell ref="R2:R3"/>
    <mergeCell ref="S2:S3"/>
    <mergeCell ref="I2:I3"/>
    <mergeCell ref="J2:J3"/>
    <mergeCell ref="K2:K3"/>
    <mergeCell ref="L2:L3"/>
    <mergeCell ref="M2:M3"/>
    <mergeCell ref="N2:N3"/>
    <mergeCell ref="AA2:AA3"/>
    <mergeCell ref="U2:U3"/>
    <mergeCell ref="T2:T3"/>
    <mergeCell ref="A2:A3"/>
    <mergeCell ref="B2:D2"/>
    <mergeCell ref="E2:E3"/>
    <mergeCell ref="F2:F3"/>
    <mergeCell ref="G2:G3"/>
    <mergeCell ref="H2:H3"/>
    <mergeCell ref="O2:O3"/>
    <mergeCell ref="P2:P3"/>
    <mergeCell ref="Q2:Q3"/>
  </mergeCells>
  <dataValidations count="19">
    <dataValidation type="date" allowBlank="1" showInputMessage="1" showErrorMessage="1" errorTitle="Falsche Eingabe" error="Bitte tragen die ein gültiges Datum ein." sqref="E1:E1048576" xr:uid="{6A6E7AF7-5BCE-4445-835E-A97CAD43989F}">
      <formula1>18264</formula1>
      <formula2>2958465</formula2>
    </dataValidation>
    <dataValidation type="list" allowBlank="1" showInputMessage="1" showErrorMessage="1" errorTitle="Falsche Eingabe" error="Bitte tragen Sie ein N (Neuanlage), ein A (Änderung) oder ein Z (nicht mehr lieferbar) ein" sqref="F1:F1048576" xr:uid="{0FA78EFA-9D07-44F5-9EE1-EBD6479C5788}">
      <formula1>"N,A,Z"</formula1>
    </dataValidation>
    <dataValidation type="whole" allowBlank="1" showInputMessage="1" showErrorMessage="1" errorTitle="Falsche Eingabe" error="Bitte tragen Sie eine Zahl ein." sqref="C1:C1048576" xr:uid="{9F9E6F3B-8266-479B-98CF-C6BA1B700E8B}">
      <formula1>0</formula1>
      <formula2>999999999999999</formula2>
    </dataValidation>
    <dataValidation type="date" allowBlank="1" showInputMessage="1" showErrorMessage="1" errorTitle="Falsche Eingabe" error="Bitte tragen Sie ein gültiges Datum ein." sqref="BT1:BT1048576 H1:I1048576 L1:L1048576" xr:uid="{7B284005-3D3F-4121-9BF0-EECCC1107A16}">
      <formula1>18264</formula1>
      <formula2>2958465</formula2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1:J7" xr:uid="{9B105989-1D35-4485-86A9-567EAD687075}">
      <formula1>"Beutel,Dose,Eimer,Flasche,Kanister,Karton,Muster,Packung,Rolle,Set,Spender,Spritze,Stück,Tube,Kit,Bundle,Box,Blister"</formula1>
    </dataValidation>
    <dataValidation type="list" allowBlank="1" showInputMessage="1" showErrorMessage="1" errorTitle="Falsche Eingabe" error="Bitte tragen Sie ein J oder N ein." sqref="K1:K1048576 U1:U1048576 AJ1:AM1048576 AO1:AO1048576 AU1:BE1048576 BS1:BS1048576 BU1:BW1048576 CK1:CK1048576 CM1:DP1048576 DW1:DW1048576 ED1:ED1048576 EK1:EK1048576 ES1:ET1048576 FA1:FA1048576 FI1:FI1048576 FS2:FS1048576 FT1 FU7 FW7" xr:uid="{48783792-AB03-426A-9E7A-0B7A12C076E3}">
      <formula1>"J,N"</formula1>
    </dataValidation>
    <dataValidation type="whole" allowBlank="1" showInputMessage="1" showErrorMessage="1" errorTitle="Falsche Eingabe" error="Bitte tragen Sie eine Zahl ein." sqref="EN1:EP1048576 CH1:CH1048576 BX1:BX1048576 BZ1:CF1048576" xr:uid="{BEE5BC70-D23C-429E-8FF7-94FE1611B2CD}">
      <formula1>0</formula1>
      <formula2>9.99999999999999E+44</formula2>
    </dataValidation>
    <dataValidation type="list" allowBlank="1" showInputMessage="1" showErrorMessage="1" errorTitle="Falsche Eingabe" error="Bitte tragen Sie DENT, MED oder VET ein." sqref="AH1:AH1048576" xr:uid="{B7BE3A4B-ECB6-4FDA-ACE8-F7E9A4E22CB1}">
      <formula1>"DENT,MED,VET"</formula1>
    </dataValidation>
    <dataValidation type="list" allowBlank="1" showInputMessage="1" showErrorMessage="1" errorTitle="Falsche Eingabe" error="Bitte tragen Sie P, L oder B ein." sqref="AI1:AI1048576" xr:uid="{427ACEEF-F975-4623-96AF-55B0A55E1C91}">
      <formula1>"P,L,B"</formula1>
    </dataValidation>
    <dataValidation type="whole" allowBlank="1" showInputMessage="1" showErrorMessage="1" errorTitle="Falsche Eingabe" error="Bitte tragen Sie eine Zahl ein." sqref="AP1:AT1048576" xr:uid="{E6195435-5FEC-4D4E-8CC4-384F08544C27}">
      <formula1>-5000</formula1>
      <formula2>5000</formula2>
    </dataValidation>
    <dataValidation type="whole" allowBlank="1" showInputMessage="1" showErrorMessage="1" error="Bitte tragen Sie eine Zahl ein." sqref="CI1:CI1048576" xr:uid="{8EFDD49D-994F-47B0-B931-D50F9B08CB7C}">
      <formula1>0</formula1>
      <formula2>9.99999999999999E+43</formula2>
    </dataValidation>
    <dataValidation type="list" allowBlank="1" showInputMessage="1" showErrorMessage="1" errorTitle="Falsche Eingabe" error="Bitte tragen Sie Fass, Kanister, Kiste, Sack, Kombinationsverpackung oder Feinstblechverpackung ein" sqref="CJ1:CJ1048576" xr:uid="{6E9AB6C7-8CB3-4BD4-B33A-2A290C49C6AE}">
      <formula1>"Fass,Kanister,Kiste,Sack,Kombinationsverpackung,Feinstblechverpackung"</formula1>
    </dataValidation>
    <dataValidation type="whole" allowBlank="1" showInputMessage="1" showErrorMessage="1" errorTitle="Falsche Eingabe" error="Bitte tragen Sie eine Zahl ein." sqref="CL1:CL1048576" xr:uid="{77E0D496-D08C-46FC-B4CB-50253AACBA26}">
      <formula1>0</formula1>
      <formula2>9.99999999999999E+47</formula2>
    </dataValidation>
    <dataValidation type="decimal" allowBlank="1" showInputMessage="1" showErrorMessage="1" errorTitle="Falsche Eingabe" error="Bitte tragen Sie eine Zahl ein." sqref="EQ1:ER1048576 DQ1:DV1048576 DX1:EC1048576 EE1:EJ1048576 EL1:EL1048576" xr:uid="{7BBCCAE2-394A-4312-BA93-8A684173F3DE}">
      <formula1>0</formula1>
      <formula2>9.99999999999999E+46</formula2>
    </dataValidation>
    <dataValidation type="whole" allowBlank="1" showInputMessage="1" showErrorMessage="1" errorTitle="Falsche Eingabe" error="Bitte tragen Sie eine Zahl ein." sqref="FC1:FC1048576 EU1:EX1048576" xr:uid="{B8D9AABE-8087-4D90-800C-743AF9D9695C}">
      <formula1>0</formula1>
      <formula2>9.99999999999999E+46</formula2>
    </dataValidation>
    <dataValidation type="decimal" allowBlank="1" showInputMessage="1" showErrorMessage="1" errorTitle="Falsche Eingabe" error="Bitte tragen Sie eine Zahl ein." sqref="EY1:EZ1048576" xr:uid="{A2CDF267-3D65-4F5C-AEBC-73BC973F5ABF}">
      <formula1>0</formula1>
      <formula2>9.99999999999999E+47</formula2>
    </dataValidation>
    <dataValidation type="whole" allowBlank="1" showInputMessage="1" showErrorMessage="1" errorTitle="Falsche Eingabe" error="Bitte tragen Sie eine Zahl ein." sqref="FD1:FF1048576" xr:uid="{AB437A9F-6AF9-4D7E-B35C-81E6750D7ABE}">
      <formula1>0</formula1>
      <formula2>9.99999999999999E+48</formula2>
    </dataValidation>
    <dataValidation type="decimal" allowBlank="1" showInputMessage="1" showErrorMessage="1" errorTitle="Falsche Eingabe" error="Bitte tragen Sie eine Zahl ein." sqref="FJ1:FJ1048576" xr:uid="{8CD32B77-93DC-49BA-B7D1-0C66184A3185}">
      <formula1>0</formula1>
      <formula2>9.99999999999999E+43</formula2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8:J1048576" xr:uid="{37860141-C341-4C80-89C8-061C1BB0A448}">
      <formula1>"Beutel,Dose,Eimer,Flasche,Kanister,Karton,Muster,Packung,Rolle,Set,Spender,Spritze,Stück,Tube,Kit,Bundle,Box,Blister,Nachfüllpackung,Großpackung"</formula1>
    </dataValidation>
  </dataValidations>
  <hyperlinks>
    <hyperlink ref="D7" r:id="rId1" xr:uid="{4DA43ACA-28FD-4422-B835-514927E9A301}"/>
  </hyperlinks>
  <pageMargins left="0.70866141732283472" right="0.70866141732283472" top="0.78740157480314965" bottom="0.78740157480314965" header="0.31496062992125984" footer="0.31496062992125984"/>
  <pageSetup paperSize="8" scale="9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B09-B350-4064-82A2-13F7A2ED23D5}">
  <dimension ref="A1:FY18"/>
  <sheetViews>
    <sheetView zoomScale="80" zoomScaleNormal="80" workbookViewId="0">
      <pane ySplit="5" topLeftCell="A6" activePane="bottomLeft" state="frozen"/>
      <selection activeCell="A2" sqref="A2"/>
      <selection pane="bottomLeft" activeCell="N8" sqref="N8"/>
    </sheetView>
  </sheetViews>
  <sheetFormatPr baseColWidth="10" defaultColWidth="11.44140625" defaultRowHeight="14.4" outlineLevelRow="1" x14ac:dyDescent="0.3"/>
  <cols>
    <col min="1" max="1" width="12.44140625" style="106" customWidth="1"/>
    <col min="2" max="4" width="9.44140625" style="106" customWidth="1"/>
    <col min="5" max="5" width="12.5546875" style="106" customWidth="1"/>
    <col min="6" max="6" width="21.44140625" style="106" customWidth="1"/>
    <col min="7" max="9" width="13.88671875" style="106" customWidth="1"/>
    <col min="10" max="10" width="19.109375" style="106" customWidth="1"/>
    <col min="11" max="11" width="19" style="106" customWidth="1"/>
    <col min="12" max="13" width="13.88671875" style="106" customWidth="1"/>
    <col min="14" max="18" width="11.5546875" style="106" customWidth="1"/>
    <col min="19" max="63" width="11.5546875" style="106" hidden="1" customWidth="1"/>
    <col min="64" max="64" width="19" style="106" customWidth="1"/>
    <col min="65" max="65" width="13.88671875" style="106" customWidth="1"/>
    <col min="66" max="91" width="13.88671875" style="106" hidden="1" customWidth="1"/>
    <col min="92" max="92" width="14.44140625" style="106" customWidth="1"/>
    <col min="93" max="119" width="14.44140625" style="106" hidden="1" customWidth="1"/>
    <col min="120" max="120" width="29.88671875" style="106" customWidth="1"/>
    <col min="121" max="121" width="9.109375" style="106" customWidth="1"/>
    <col min="122" max="123" width="9.5546875" style="106" customWidth="1"/>
    <col min="124" max="124" width="7.109375" style="106" customWidth="1"/>
    <col min="125" max="126" width="9.5546875" style="106" customWidth="1"/>
    <col min="127" max="127" width="13.88671875" style="106" customWidth="1"/>
    <col min="128" max="130" width="9.5546875" style="106" customWidth="1"/>
    <col min="131" max="131" width="7.109375" style="106" customWidth="1"/>
    <col min="132" max="133" width="9.5546875" style="106" customWidth="1"/>
    <col min="134" max="134" width="13.5546875" style="106" customWidth="1"/>
    <col min="135" max="135" width="6.109375" style="106" customWidth="1"/>
    <col min="136" max="137" width="9.5546875" style="106" customWidth="1"/>
    <col min="138" max="138" width="7.109375" style="106" customWidth="1"/>
    <col min="139" max="140" width="9.5546875" style="106" customWidth="1"/>
    <col min="141" max="141" width="13.88671875" style="106" customWidth="1"/>
    <col min="142" max="142" width="10.88671875" style="106" customWidth="1"/>
    <col min="143" max="157" width="12.5546875" style="106" customWidth="1"/>
    <col min="158" max="158" width="12.44140625" style="106" customWidth="1"/>
    <col min="159" max="160" width="8.5546875" style="106" customWidth="1"/>
    <col min="161" max="161" width="8.5546875" style="106" hidden="1" customWidth="1"/>
    <col min="162" max="162" width="8.5546875" style="106" customWidth="1"/>
    <col min="163" max="163" width="13.88671875" style="106" customWidth="1"/>
    <col min="164" max="164" width="8.5546875" style="106" customWidth="1" collapsed="1"/>
    <col min="165" max="181" width="11.44140625" style="106" hidden="1" customWidth="1"/>
    <col min="182" max="16384" width="11.44140625" style="106"/>
  </cols>
  <sheetData>
    <row r="1" spans="1:181" s="168" customFormat="1" ht="17.25" customHeight="1" x14ac:dyDescent="0.3">
      <c r="A1" s="167">
        <v>1</v>
      </c>
      <c r="B1" s="167">
        <v>2</v>
      </c>
      <c r="C1" s="167">
        <v>3</v>
      </c>
      <c r="D1" s="167">
        <v>4</v>
      </c>
      <c r="E1" s="167">
        <v>5</v>
      </c>
      <c r="F1" s="167">
        <v>6</v>
      </c>
      <c r="G1" s="167">
        <v>7</v>
      </c>
      <c r="H1" s="167">
        <v>8</v>
      </c>
      <c r="I1" s="167">
        <v>9</v>
      </c>
      <c r="J1" s="167">
        <v>10</v>
      </c>
      <c r="K1" s="167">
        <v>11</v>
      </c>
      <c r="L1" s="167">
        <v>12</v>
      </c>
      <c r="M1" s="167">
        <v>13</v>
      </c>
      <c r="N1" s="167">
        <v>14</v>
      </c>
      <c r="O1" s="167">
        <v>15</v>
      </c>
      <c r="P1" s="167">
        <v>16</v>
      </c>
      <c r="Q1" s="167">
        <v>17</v>
      </c>
      <c r="R1" s="167">
        <v>18</v>
      </c>
      <c r="S1" s="167">
        <v>19</v>
      </c>
      <c r="T1" s="167">
        <v>20</v>
      </c>
      <c r="U1" s="167">
        <v>21</v>
      </c>
      <c r="V1" s="167">
        <v>22</v>
      </c>
      <c r="W1" s="167">
        <v>23</v>
      </c>
      <c r="X1" s="167">
        <v>24</v>
      </c>
      <c r="Y1" s="167">
        <v>25</v>
      </c>
      <c r="Z1" s="167">
        <v>26</v>
      </c>
      <c r="AA1" s="167">
        <v>27</v>
      </c>
      <c r="AB1" s="167">
        <v>28</v>
      </c>
      <c r="AC1" s="167">
        <v>29</v>
      </c>
      <c r="AD1" s="167">
        <v>30</v>
      </c>
      <c r="AE1" s="167">
        <v>31</v>
      </c>
      <c r="AF1" s="167">
        <v>32</v>
      </c>
      <c r="AG1" s="167">
        <v>33</v>
      </c>
      <c r="AH1" s="167">
        <v>34</v>
      </c>
      <c r="AI1" s="167">
        <v>35</v>
      </c>
      <c r="AJ1" s="167">
        <v>36</v>
      </c>
      <c r="AK1" s="167">
        <v>37</v>
      </c>
      <c r="AL1" s="167">
        <v>38</v>
      </c>
      <c r="AM1" s="167">
        <v>39</v>
      </c>
      <c r="AN1" s="167">
        <v>40</v>
      </c>
      <c r="AO1" s="167">
        <v>41</v>
      </c>
      <c r="AP1" s="167">
        <v>42</v>
      </c>
      <c r="AQ1" s="167">
        <v>43</v>
      </c>
      <c r="AR1" s="167">
        <v>44</v>
      </c>
      <c r="AS1" s="167">
        <v>45</v>
      </c>
      <c r="AT1" s="167">
        <v>46</v>
      </c>
      <c r="AU1" s="167">
        <v>47</v>
      </c>
      <c r="AV1" s="167">
        <v>48</v>
      </c>
      <c r="AW1" s="167">
        <v>49</v>
      </c>
      <c r="AX1" s="167">
        <v>50</v>
      </c>
      <c r="AY1" s="167">
        <v>51</v>
      </c>
      <c r="AZ1" s="167">
        <v>52</v>
      </c>
      <c r="BA1" s="167">
        <v>53</v>
      </c>
      <c r="BB1" s="167">
        <v>54</v>
      </c>
      <c r="BC1" s="167">
        <v>55</v>
      </c>
      <c r="BD1" s="167">
        <v>56</v>
      </c>
      <c r="BE1" s="167">
        <v>57</v>
      </c>
      <c r="BF1" s="167">
        <v>58</v>
      </c>
      <c r="BG1" s="167">
        <v>59</v>
      </c>
      <c r="BH1" s="167">
        <v>60</v>
      </c>
      <c r="BI1" s="167">
        <v>61</v>
      </c>
      <c r="BJ1" s="167">
        <v>62</v>
      </c>
      <c r="BK1" s="167">
        <v>63</v>
      </c>
      <c r="BL1" s="167">
        <v>64</v>
      </c>
      <c r="BM1" s="167">
        <v>65</v>
      </c>
      <c r="BN1" s="167">
        <v>66</v>
      </c>
      <c r="BO1" s="167">
        <v>67</v>
      </c>
      <c r="BP1" s="167">
        <v>68</v>
      </c>
      <c r="BQ1" s="167">
        <v>69</v>
      </c>
      <c r="BR1" s="167">
        <v>70</v>
      </c>
      <c r="BS1" s="167">
        <v>71</v>
      </c>
      <c r="BT1" s="167">
        <v>72</v>
      </c>
      <c r="BU1" s="167">
        <v>73</v>
      </c>
      <c r="BV1" s="167">
        <v>74</v>
      </c>
      <c r="BW1" s="167">
        <v>75</v>
      </c>
      <c r="BX1" s="167">
        <v>76</v>
      </c>
      <c r="BY1" s="167">
        <v>77</v>
      </c>
      <c r="BZ1" s="167">
        <v>78</v>
      </c>
      <c r="CA1" s="167">
        <v>79</v>
      </c>
      <c r="CB1" s="167">
        <v>80</v>
      </c>
      <c r="CC1" s="167">
        <v>81</v>
      </c>
      <c r="CD1" s="167">
        <v>82</v>
      </c>
      <c r="CE1" s="167">
        <v>83</v>
      </c>
      <c r="CF1" s="167">
        <v>84</v>
      </c>
      <c r="CG1" s="167">
        <v>85</v>
      </c>
      <c r="CH1" s="167">
        <v>86</v>
      </c>
      <c r="CI1" s="167">
        <v>87</v>
      </c>
      <c r="CJ1" s="167">
        <v>88</v>
      </c>
      <c r="CK1" s="167">
        <v>89</v>
      </c>
      <c r="CL1" s="167">
        <v>90</v>
      </c>
      <c r="CM1" s="167">
        <v>91</v>
      </c>
      <c r="CN1" s="167">
        <v>92</v>
      </c>
      <c r="CO1" s="167">
        <v>93</v>
      </c>
      <c r="CP1" s="167">
        <v>94</v>
      </c>
      <c r="CQ1" s="167">
        <v>95</v>
      </c>
      <c r="CR1" s="167">
        <v>96</v>
      </c>
      <c r="CS1" s="167">
        <v>97</v>
      </c>
      <c r="CT1" s="167">
        <v>98</v>
      </c>
      <c r="CU1" s="167">
        <v>99</v>
      </c>
      <c r="CV1" s="167">
        <v>100</v>
      </c>
      <c r="CW1" s="167">
        <v>101</v>
      </c>
      <c r="CX1" s="167">
        <v>102</v>
      </c>
      <c r="CY1" s="167">
        <v>103</v>
      </c>
      <c r="CZ1" s="167">
        <v>104</v>
      </c>
      <c r="DA1" s="167">
        <v>105</v>
      </c>
      <c r="DB1" s="167">
        <v>106</v>
      </c>
      <c r="DC1" s="167">
        <v>107</v>
      </c>
      <c r="DD1" s="167">
        <v>108</v>
      </c>
      <c r="DE1" s="167">
        <v>109</v>
      </c>
      <c r="DF1" s="167">
        <v>110</v>
      </c>
      <c r="DG1" s="167">
        <v>111</v>
      </c>
      <c r="DH1" s="167">
        <v>112</v>
      </c>
      <c r="DI1" s="167">
        <v>113</v>
      </c>
      <c r="DJ1" s="167">
        <v>114</v>
      </c>
      <c r="DK1" s="167">
        <v>115</v>
      </c>
      <c r="DL1" s="167">
        <v>116</v>
      </c>
      <c r="DM1" s="167">
        <v>117</v>
      </c>
      <c r="DN1" s="167">
        <v>118</v>
      </c>
      <c r="DO1" s="167">
        <v>119</v>
      </c>
      <c r="DP1" s="167">
        <v>120</v>
      </c>
      <c r="DQ1" s="167">
        <v>121</v>
      </c>
      <c r="DR1" s="167">
        <v>122</v>
      </c>
      <c r="DS1" s="167">
        <v>123</v>
      </c>
      <c r="DT1" s="167">
        <v>124</v>
      </c>
      <c r="DU1" s="167">
        <v>125</v>
      </c>
      <c r="DV1" s="167">
        <v>126</v>
      </c>
      <c r="DW1" s="167">
        <v>127</v>
      </c>
      <c r="DX1" s="167">
        <v>128</v>
      </c>
      <c r="DY1" s="167">
        <v>129</v>
      </c>
      <c r="DZ1" s="167">
        <v>130</v>
      </c>
      <c r="EA1" s="167">
        <v>131</v>
      </c>
      <c r="EB1" s="167">
        <v>132</v>
      </c>
      <c r="EC1" s="167">
        <v>133</v>
      </c>
      <c r="ED1" s="167">
        <v>134</v>
      </c>
      <c r="EE1" s="167">
        <v>135</v>
      </c>
      <c r="EF1" s="167">
        <v>136</v>
      </c>
      <c r="EG1" s="167">
        <v>137</v>
      </c>
      <c r="EH1" s="167">
        <v>138</v>
      </c>
      <c r="EI1" s="167">
        <v>139</v>
      </c>
      <c r="EJ1" s="167">
        <v>140</v>
      </c>
      <c r="EK1" s="167">
        <v>141</v>
      </c>
      <c r="EL1" s="167">
        <v>142</v>
      </c>
      <c r="EM1" s="167">
        <v>143</v>
      </c>
      <c r="EN1" s="167">
        <v>144</v>
      </c>
      <c r="EO1" s="167">
        <v>145</v>
      </c>
      <c r="EP1" s="167">
        <v>146</v>
      </c>
      <c r="EQ1" s="167">
        <v>147</v>
      </c>
      <c r="ER1" s="167">
        <v>148</v>
      </c>
      <c r="ES1" s="167">
        <v>149</v>
      </c>
      <c r="ET1" s="167">
        <v>150</v>
      </c>
      <c r="EU1" s="167">
        <v>151</v>
      </c>
      <c r="EV1" s="167">
        <v>152</v>
      </c>
      <c r="EW1" s="167">
        <v>153</v>
      </c>
      <c r="EX1" s="167">
        <v>154</v>
      </c>
      <c r="EY1" s="167">
        <v>155</v>
      </c>
      <c r="EZ1" s="167">
        <v>156</v>
      </c>
      <c r="FA1" s="167">
        <v>157</v>
      </c>
      <c r="FB1" s="167">
        <v>161</v>
      </c>
      <c r="FC1" s="167">
        <v>163</v>
      </c>
      <c r="FD1" s="167">
        <v>164</v>
      </c>
      <c r="FE1" s="167">
        <v>165</v>
      </c>
      <c r="FF1" s="167">
        <v>166</v>
      </c>
      <c r="FG1" s="167">
        <v>167</v>
      </c>
      <c r="FH1" s="167">
        <v>168</v>
      </c>
      <c r="FI1" s="167">
        <v>169</v>
      </c>
      <c r="FJ1" s="167">
        <v>170</v>
      </c>
      <c r="FK1" s="167">
        <v>171</v>
      </c>
      <c r="FL1" s="167">
        <v>172</v>
      </c>
      <c r="FM1" s="167">
        <v>173</v>
      </c>
      <c r="FN1" s="167">
        <v>174</v>
      </c>
      <c r="FO1" s="167">
        <v>175</v>
      </c>
      <c r="FP1" s="167">
        <v>176</v>
      </c>
      <c r="FQ1" s="167">
        <v>177</v>
      </c>
      <c r="FR1" s="167">
        <v>178</v>
      </c>
      <c r="FS1" s="167">
        <v>179</v>
      </c>
      <c r="FT1" s="167">
        <v>180</v>
      </c>
      <c r="FU1" s="167">
        <v>181</v>
      </c>
      <c r="FV1" s="167">
        <v>182</v>
      </c>
      <c r="FW1" s="167">
        <v>183</v>
      </c>
      <c r="FX1" s="167">
        <v>184</v>
      </c>
      <c r="FY1" s="168">
        <v>185</v>
      </c>
    </row>
    <row r="2" spans="1:181" s="189" customFormat="1" ht="103.5" customHeight="1" x14ac:dyDescent="0.3">
      <c r="A2" s="169" t="str">
        <f>VLOOKUP(Start!$H$20,Header_Data!$A3:$GZ32,2,FALSE)</f>
        <v>1. Steuerzeichen, neuer Artikel beginnt</v>
      </c>
      <c r="B2" s="170" t="str">
        <f>VLOOKUP(Start!$H$20,Header_Data!$A3:$GZ32,3,FALSE)</f>
        <v>2. Ansprechpartner</v>
      </c>
      <c r="C2" s="171"/>
      <c r="D2" s="171"/>
      <c r="E2" s="170" t="str">
        <f>VLOOKUP(Start!$H$20,Header_Data!$A3:$GZ32,6,FALSE)</f>
        <v>3. Datum der Gültigkeit des Artikeldatensatzes</v>
      </c>
      <c r="F2" s="170" t="str">
        <f>VLOOKUP(Start!$H$20,Header_Data!$A3:$GZ32,7,FALSE)</f>
        <v>4. Status</v>
      </c>
      <c r="G2" s="169" t="str">
        <f>VLOOKUP(Start!$H$20,Header_Data!$A3:$GZ32,8,FALSE)</f>
        <v xml:space="preserve">4.1. Exakte Lieferanten-Artikelnummer des Vorgängerartikels </v>
      </c>
      <c r="H2" s="169" t="str">
        <f>VLOOKUP(Start!$H$20,Header_Data!$A3:$GZ32,9,FALSE)</f>
        <v>4.2. Artikelveröffentlichung zugelassen ab</v>
      </c>
      <c r="I2" s="169" t="str">
        <f>VLOOKUP(Start!$H$20,Header_Data!$A3:$GZ32,10,FALSE)</f>
        <v>4.3. Artikel lieferbar ab</v>
      </c>
      <c r="J2" s="169" t="str">
        <f>VLOOKUP(Start!$H$20,Header_Data!$A3:$GZ32,11,FALSE)</f>
        <v>4.4. Verpackungsart des Artikels?</v>
      </c>
      <c r="K2" s="170" t="str">
        <f>VLOOKUP(Start!$H$20,Header_Data!$A3:$GZ32,12,FALSE)</f>
        <v>5. Auslaufartikel</v>
      </c>
      <c r="L2" s="169" t="str">
        <f>VLOOKUP(Start!$H$20,Header_Data!$A3:$GZ32,13,FALSE)</f>
        <v>5.1. Auslaufartikel lieferbar bis</v>
      </c>
      <c r="M2" s="169" t="str">
        <f>VLOOKUP(Start!$H$20,Header_Data!$A3:$GZ32,14,FALSE)</f>
        <v>5.2. Exakte Lieferanten-Artikelnummer des Alternativartikels</v>
      </c>
      <c r="N2" s="170" t="str">
        <f>VLOOKUP(Start!$H$20,Header_Data!$A3:$GZ32,15,FALSE)</f>
        <v>6. Lieferantenname</v>
      </c>
      <c r="O2" s="170" t="str">
        <f>VLOOKUP(Start!$H$20,Header_Data!$A3:$GZ32,16,FALSE)</f>
        <v>7. Exakte Lieferanten-Artikelnummer</v>
      </c>
      <c r="P2" s="170" t="str">
        <f>VLOOKUP(Start!$H$20,Header_Data!$A3:$GZ32,17,FALSE)</f>
        <v>8. Exakte Artikelbezeichnung</v>
      </c>
      <c r="Q2" s="170" t="str">
        <f>VLOOKUP(Start!$H$20,Header_Data!$A3:$GZ32,18,FALSE)</f>
        <v>9. Herstellername</v>
      </c>
      <c r="R2" s="170" t="str">
        <f>VLOOKUP(Start!$H$20,Header_Data!$A3:$GZ32,19,FALSE)</f>
        <v>10. Exakte Hersteller-Artikelnummer</v>
      </c>
      <c r="S2" s="170" t="str">
        <f>VLOOKUP([1]Start!$H$20,[1]Header_Data!$A3:$GZ32,20,FALSE)</f>
        <v>11. Produktzulassung zum Vertrieb gemäß den einschlägigen gesetzlichen oder behördlichen Bestimmungen besteht für folgende Länder:</v>
      </c>
      <c r="T2" s="170" t="str">
        <f>VLOOKUP([1]Start!$H$20,[1]Header_Data!$A3:$GZ32,21,FALSE)</f>
        <v>12. CE-Kennzeichnung auf dem Produkt vorhanden [innen (i), außen (o)]?</v>
      </c>
      <c r="U2" s="170" t="str">
        <f>VLOOKUP([1]Start!$H$20,[1]Header_Data!$A3:$GZ32,22,FALSE)</f>
        <v>13. Hat das Produkt einen Barcode/UDI-DI?</v>
      </c>
      <c r="V2" s="169" t="str">
        <f>VLOOKUP([1]Start!$H$20,[1]Header_Data!$A3:$GZ32,23,FALSE)</f>
        <v>13.1.1. GTIN / EAN - kleinste Verkaufseinheit
(Global Trade Item Number / European Article Number)</v>
      </c>
      <c r="W2" s="169" t="str">
        <f>VLOOKUP([1]Start!$H$20,[1]Header_Data!$A3:$GZ32,24,FALSE)</f>
        <v>13.1.2. GTIN / EAN - Pack
(Global Trade Item Number / European Article Number)</v>
      </c>
      <c r="X2" s="169" t="str">
        <f>VLOOKUP([1]Start!$H$20,[1]Header_Data!$A3:$GZ32,25,FALSE)</f>
        <v>13.1.3. GTIN / EAN - Karton
(Global Trade Item Number / European Article Number)</v>
      </c>
      <c r="Y2" s="169" t="str">
        <f>VLOOKUP([1]Start!$H$20,[1]Header_Data!$A3:$GZ32,26,FALSE)</f>
        <v>13.1.4. GTIN / EAN - Palette
(Global Trade Item Number / European Article Number)</v>
      </c>
      <c r="Z2" s="169" t="str">
        <f>VLOOKUP([1]Start!$H$20,[1]Header_Data!$A3:$GZ32,27,FALSE)</f>
        <v>13.2.1 HIBC - Kleinste Verkaufseinheit
(Health Industry Bar Code)</v>
      </c>
      <c r="AA2" s="169" t="str">
        <f>VLOOKUP([1]Start!$H$20,[1]Header_Data!$A3:$GZ32,28,FALSE)</f>
        <v>13.2.2 HIBC - Pack
(Health Industry Bar Code)</v>
      </c>
      <c r="AB2" s="169" t="str">
        <f>VLOOKUP([1]Start!$H$20,[1]Header_Data!$A3:$GZ32,29,FALSE)</f>
        <v>13.2.3 HIBC - Karton
(Health Industry Bar Code)</v>
      </c>
      <c r="AC2" s="169" t="str">
        <f>VLOOKUP([1]Start!$H$20,[1]Header_Data!$A3:$GZ32,30,FALSE)</f>
        <v>13.2.4 HIBC - Palette
(Health Industry Bar Code)</v>
      </c>
      <c r="AD2" s="169" t="str">
        <f>VLOOKUP([1]Start!$H$20,[1]Header_Data!$A3:$GZ32,31,FALSE)</f>
        <v>13.3. PPN (Pharmacy Product Number)</v>
      </c>
      <c r="AE2" s="169" t="str">
        <f>VLOOKUP([1]Start!$H$20,[1]Header_Data!$A3:$GZ32,32,FALSE)</f>
        <v>13.4. PZN DE (Pharmazentralnummer)</v>
      </c>
      <c r="AF2" s="170" t="str">
        <f>VLOOKUP([1]Start!$H$20,[1]Header_Data!$A3:$GZ32,33,FALSE)</f>
        <v>14. eCl@ss-Code</v>
      </c>
      <c r="AG2" s="169" t="str">
        <f>VLOOKUP([1]Start!$H$20,[1]Header_Data!$A3:$GZ32,34,FALSE)</f>
        <v>14.1. eCl@ss-Version</v>
      </c>
      <c r="AH2" s="170" t="str">
        <f>VLOOKUP([1]Start!$H$20,[1]Header_Data!$A3:$GZ32,35,FALSE)</f>
        <v>15. In welchem Medizinbereich erfolgt die Anwendung des Artikels?</v>
      </c>
      <c r="AI2" s="170" t="str">
        <f>VLOOKUP([1]Start!$H$20,[1]Header_Data!$A3:$GZ32,36,FALSE)</f>
        <v>16. Einsatzort des Produktes</v>
      </c>
      <c r="AJ2" s="170" t="str">
        <f>VLOOKUP([1]Start!$H$20,[1]Header_Data!$A3:$GZ32,37,FALSE)</f>
        <v>17. Ist Artikel ein Steril-Produkt?</v>
      </c>
      <c r="AK2" s="170" t="str">
        <f>VLOOKUP([1]Start!$H$20,[1]Header_Data!$A3:$GZ32,38,FALSE)</f>
        <v>18. Etikett/Produktverpackung ist sprachneutral
(nur Eigenname und Piktogramme angedruckt)</v>
      </c>
      <c r="AL2" s="169" t="str">
        <f>VLOOKUP([1]Start!$H$20,[1]Header_Data!$A3:$GZ32,39,FALSE)</f>
        <v>18.1. Folgende Sprachen werden auf dem Etikett/Produktverpackung verwendet</v>
      </c>
      <c r="AM2" s="170" t="str">
        <f>VLOOKUP([1]Start!$H$20,[1]Header_Data!$A3:$GZ32,40,FALSE)</f>
        <v>19. Wird eine Gebrauchsanweisung benötigt?</v>
      </c>
      <c r="AN2" s="169" t="str">
        <f>VLOOKUP([1]Start!$H$20,[1]Header_Data!$A3:$GZ32,41,FALSE)</f>
        <v>19.1. Folgende Sprachen sind in der Gebrauchsanweisung enthalten:</v>
      </c>
      <c r="AO2" s="170" t="str">
        <f>VLOOKUP([1]Start!$H$20,[1]Header_Data!$A3:$GZ32,42,FALSE)</f>
        <v>20. Hat der Artikel hat eine Beschränkung in den Lager- und Transporttemperaturen?</v>
      </c>
      <c r="AP2" s="172" t="str">
        <f>VLOOKUP([1]Start!$H$20,[1]Header_Data!$A3:$GZ32,43,FALSE)</f>
        <v>20.1. Lagertemperatur</v>
      </c>
      <c r="AQ2" s="173"/>
      <c r="AR2" s="172" t="str">
        <f>VLOOKUP([1]Start!$H$20,[1]Header_Data!$A3:$GZ32,45,FALSE)</f>
        <v>20.2. Transporttemperatur</v>
      </c>
      <c r="AS2" s="173"/>
      <c r="AT2" s="169" t="str">
        <f>VLOOKUP([1]Start!$H$20,[1]Header_Data!$A3:$GZ32,47,FALSE)</f>
        <v>20.3. Maximal zulässige Dauer der Transporttemperatur</v>
      </c>
      <c r="AU2" s="169" t="str">
        <f>VLOOKUP([1]Start!$H$20,[1]Header_Data!$A3:$GZ32,48,FALSE)</f>
        <v>20.4. Artikel ist frostempfindlich</v>
      </c>
      <c r="AV2" s="170" t="str">
        <f>VLOOKUP([1]Start!$H$20,[1]Header_Data!$A3:$GZ32,49,FALSE)</f>
        <v>21. Ist der Artikel ein Arzneimittel?</v>
      </c>
      <c r="AW2" s="169" t="str">
        <f>VLOOKUP([1]Start!$H$20,[1]Header_Data!$A3:$GZ32,50,FALSE)</f>
        <v xml:space="preserve">21.1. Artikel ist ein Betäubungsmittel? </v>
      </c>
      <c r="AX2" s="169" t="str">
        <f>VLOOKUP([1]Start!$H$20,[1]Header_Data!$A3:$GZ32,51,FALSE)</f>
        <v>21.2. Artikel ist ein Fertigarzneimittel?</v>
      </c>
      <c r="AY2" s="169" t="str">
        <f>VLOOKUP([1]Start!$H$20,[1]Header_Data!$A3:$GZ32,52,FALSE)</f>
        <v>21.3. Artikel dient zum Ersatz oder zur Korrektur von Körperflüssigkeiten?</v>
      </c>
      <c r="AZ2" s="169" t="str">
        <f>VLOOKUP([1]Start!$H$20,[1]Header_Data!$A3:$GZ32,53,FALSE)</f>
        <v>21.4. Artikel ist nur zur Anwendung in der Zahnheilkunde?</v>
      </c>
      <c r="BA2" s="169" t="str">
        <f>VLOOKUP([1]Start!$H$20,[1]Header_Data!$A3:$GZ32,54,FALSE)</f>
        <v>21.5. Artikel ist apothekenpflichtig?</v>
      </c>
      <c r="BB2" s="169" t="str">
        <f>VLOOKUP([1]Start!$H$20,[1]Header_Data!$A3:$GZ32,55,FALSE)</f>
        <v>21.6. Artikel ist verschreibungs- pflichtig?</v>
      </c>
      <c r="BC2" s="169" t="str">
        <f>VLOOKUP([1]Start!$H$20,[1]Header_Data!$A3:$GZ32,56,FALSE)</f>
        <v>21.7. Artikel ist freiverkäuflich?</v>
      </c>
      <c r="BD2" s="169" t="str">
        <f>VLOOKUP([1]Start!$H$20,[1]Header_Data!$A3:$GZ32,57,FALSE)</f>
        <v>21.8. Produkt unterliegt dem GKV-WSG vom 01.04.2007?
(Gesetz zur Stärkung des Wettbewerbs in der gesetzlichen Krankenversicherung)</v>
      </c>
      <c r="BE2" s="169" t="str">
        <f>VLOOKUP([1]Start!$H$20,[1]Header_Data!$A3:$GZ32,58,FALSE)</f>
        <v>21.9. Vertrieb nur an Personen mit humanmedizinischer Grundausbildung?</v>
      </c>
      <c r="BF2" s="169" t="str">
        <f>VLOOKUP([1]Start!$H$20,[1]Header_Data!$A3:$GZ32,59,FALSE)</f>
        <v>21.10. Arzneimittel ist für folgende Länder zugelassen:</v>
      </c>
      <c r="BG2" s="169" t="str">
        <f>VLOOKUP([1]Start!$H$20,[1]Header_Data!$A3:$GZ32,60,FALSE)</f>
        <v xml:space="preserve">21.11. Zulassungsnummer des Arzneimittels </v>
      </c>
      <c r="BH2" s="170" t="str">
        <f>VLOOKUP([1]Start!$H$20,[1]Header_Data!$A3:$GZ32,61,FALSE)</f>
        <v>22. Artikel ist ein Medizinprodukt?</v>
      </c>
      <c r="BI2" s="169" t="str">
        <f>VLOOKUP([1]Start!$H$20,[1]Header_Data!$A3:$GZ32,62,FALSE)</f>
        <v xml:space="preserve">22.1. Klasse des Medizinproduktes </v>
      </c>
      <c r="BJ2" s="169" t="str">
        <f>VLOOKUP([1]Start!$H$20,[1]Header_Data!$A3:$GZ32,63,FALSE)</f>
        <v>22.2. Produkt fällt unter die MPAV?
(Medizinprodukte-Abgabeverordnung)</v>
      </c>
      <c r="BK2" s="169" t="str">
        <f>VLOOKUP([1]Start!$H$20,[1]Header_Data!$A3:$GZ32,64,FALSE)</f>
        <v>22.3. Produkt ist Verbrauchsmaterial als Sprechstundenbedarf? 
(nur Fluoridierungsprodukte)</v>
      </c>
      <c r="BL2" s="170" t="str">
        <f>VLOOKUP(Start!$H$20,Header_Data!$A3:$GZ32,65,FALSE)</f>
        <v>23. Artikel ist ein Ersatzteil?</v>
      </c>
      <c r="BM2" s="169" t="str">
        <f>VLOOKUP(Start!$H$20,Header_Data!$A3:$GZ32,66,FALSE)</f>
        <v xml:space="preserve">23.1. Rücksendepflichtiger Reparatur-Austausch ? </v>
      </c>
      <c r="BN2" s="170" t="str">
        <f>VLOOKUP([1]Start!$H$20,[1]Header_Data!$A3:$GZ32,67,FALSE)</f>
        <v>24. Artikel ist ein Biozid?</v>
      </c>
      <c r="BO2" s="169" t="str">
        <f>VLOOKUP([1]Start!$H$20,[1]Header_Data!$A3:$GZ32,68,FALSE)</f>
        <v>24.1 BAUA-Registriernummer
(Bundesanstalt für Arbeitsschutz und Arbeitsmedizin)</v>
      </c>
      <c r="BP2" s="170" t="str">
        <f>VLOOKUP([1]Start!$H$20,[1]Header_Data!$A3:$GZ32,69,FALSE)</f>
        <v>25. Artikel ist ein Lebensmittel?</v>
      </c>
      <c r="BQ2" s="170" t="str">
        <f>VLOOKUP([1]Start!$H$20,[1]Header_Data!$A3:$GZ32,70,FALSE)</f>
        <v>26. Artikel ist ein Kosmetikprodukt?</v>
      </c>
      <c r="BR2" s="170" t="str">
        <f>VLOOKUP([1]Start!$H$20,[1]Header_Data!$A3:$GZ32,71,FALSE)</f>
        <v>27. VOC-Gehalt angeben
(Flüchtige Organische Verbindungen)</v>
      </c>
      <c r="BS2" s="170" t="str">
        <f>VLOOKUP([1]Start!$H$20,[1]Header_Data!$A3:$GZ32,72,FALSE)</f>
        <v>28. Sicherheitsdatenblatt (SDB) vorhanden?</v>
      </c>
      <c r="BT2" s="169" t="str">
        <f>VLOOKUP([1]Start!$H$20,[1]Header_Data!$A3:$GZ32,73,FALSE)</f>
        <v xml:space="preserve">28.1. Aktuelles Überarbeitungsdatum des Sicherheitsdatenblattes </v>
      </c>
      <c r="BU2" s="169" t="str">
        <f>VLOOKUP([1]Start!$H$20,[1]Header_Data!$A3:$GZ32,74,FALSE)</f>
        <v>28.2. Artikel fällt unter die Chemikalien- Verbotsverordnung (ChemVerbotsV)?</v>
      </c>
      <c r="BV2" s="170" t="str">
        <f>VLOOKUP([1]Start!$H$20,[1]Header_Data!$A3:$GZ32,75,FALSE)</f>
        <v xml:space="preserve">29. Artikel ist ein Gefahrgut? </v>
      </c>
      <c r="BW2" s="169" t="str">
        <f>VLOOKUP([1]Start!$H$20,[1]Header_Data!$A3:$GZ32,76,FALSE)</f>
        <v>29.1. Artikel fällt unter Limited Quantity (LQ, Begrenzte Menge)</v>
      </c>
      <c r="BX2" s="169" t="str">
        <f>VLOOKUP([1]Start!$H$20,[1]Header_Data!$A3:$GZ32,77,FALSE)</f>
        <v>29.2. Gefahrgutklasse nach ADR</v>
      </c>
      <c r="BY2" s="169" t="str">
        <f>VLOOKUP([1]Start!$H$20,[1]Header_Data!$A3:$GZ32,78,FALSE)</f>
        <v>29.3. Benennung und Beschreibung lt. ADR-Tabelle</v>
      </c>
      <c r="BZ2" s="169" t="str">
        <f>VLOOKUP([1]Start!$H$20,[1]Header_Data!$A3:$GZ32,79,FALSE)</f>
        <v xml:space="preserve">29.4. UN-Nummer </v>
      </c>
      <c r="CA2" s="169" t="str">
        <f>VLOOKUP([1]Start!$H$20,[1]Header_Data!$A3:$GZ32,80,FALSE)</f>
        <v>29.5. Nummer zur Kennzeichnung der Gefahr</v>
      </c>
      <c r="CB2" s="169" t="str">
        <f>VLOOKUP([1]Start!$H$20,[1]Header_Data!$A3:$GZ32,81,FALSE)</f>
        <v>29.6. Beförderungs- kategorie</v>
      </c>
      <c r="CC2" s="169" t="str">
        <f>VLOOKUP([1]Start!$H$20,[1]Header_Data!$A3:$GZ32,82,FALSE)</f>
        <v>29.7. Verpackungs- gruppe</v>
      </c>
      <c r="CD2" s="169" t="str">
        <f>VLOOKUP([1]Start!$H$20,[1]Header_Data!$A3:$GZ32,83,FALSE)</f>
        <v>29.8. Abfallschlüssel (für Produkt)</v>
      </c>
      <c r="CE2" s="169" t="str">
        <f>VLOOKUP([1]Start!$H$20,[1]Header_Data!$A3:$GZ32,84,FALSE)</f>
        <v>29.9. Lagerklasse</v>
      </c>
      <c r="CF2" s="169" t="str">
        <f>VLOOKUP([1]Start!$H$20,[1]Header_Data!$A3:$GZ32,85,FALSE)</f>
        <v>29.10. Klassifizierungscode</v>
      </c>
      <c r="CG2" s="169" t="str">
        <f>VLOOKUP([1]Start!$H$20,[1]Header_Data!$A3:$GZ32,86,FALSE)</f>
        <v>29.11. Tunnelbeschränkungs- code</v>
      </c>
      <c r="CH2" s="169" t="str">
        <f>VLOOKUP([1]Start!$H$20,[1]Header_Data!$A3:$GZ32,87,FALSE)</f>
        <v>29.12. Gefahrzettel</v>
      </c>
      <c r="CI2" s="169" t="str">
        <f>VLOOKUP([1]Start!$H$20,[1]Header_Data!$A3:$GZ32,88,FALSE)</f>
        <v>29.13. Inhalt pro Innenverpackung</v>
      </c>
      <c r="CJ2" s="169" t="str">
        <f>VLOOKUP([1]Start!$H$20,[1]Header_Data!$A3:$GZ32,89,FALSE)</f>
        <v>29.14. Verpackungsart</v>
      </c>
      <c r="CK2" s="169" t="str">
        <f>VLOOKUP([1]Start!$H$20,[1]Header_Data!$A3:$GZ32,90,FALSE)</f>
        <v>29.15. Umwelt- gefährdung</v>
      </c>
      <c r="CL2" s="169" t="str">
        <f>VLOOKUP([1]Start!$H$20,[1]Header_Data!$A3:$GZ32,91,FALSE)</f>
        <v>29.16. Wassergefährdungsklasse (WGK) in DE</v>
      </c>
      <c r="CM2" s="169" t="str">
        <f>VLOOKUP([1]Start!$H$20,[1]Header_Data!$A3:$GZ32,92,FALSE)</f>
        <v>29.17. Produkt enthält per- oder teilfluorierte Kohlenwasserstoffe (FKW und HFKW)</v>
      </c>
      <c r="CN2" s="170" t="str">
        <f>VLOOKUP(Start!$H$20,Header_Data!$A3:$GZ32,93,FALSE)</f>
        <v>30. Verpackung hat eine von außen deutlich erkennbare Chargenkennzeichnung/LOT?</v>
      </c>
      <c r="CO2" s="170" t="str">
        <f>VLOOKUP([1]Start!$H$20,[1]Header_Data!$A3:$GZ32,94,FALSE)</f>
        <v>31. Artikel hat eine Verfallszeit?</v>
      </c>
      <c r="CP2" s="169" t="str">
        <f>VLOOKUP([1]Start!$H$20,[1]Header_Data!$A3:$GZ32,95,FALSE)</f>
        <v>31.1. Verpackung hat ein von außen deutlich erkennbares Verfalldatum?</v>
      </c>
      <c r="CQ2" s="169" t="str">
        <f>VLOOKUP([1]Start!$H$20,[1]Header_Data!$A3:$GZ32,96,FALSE)</f>
        <v>31.2. Verwendungszeit nach Anbruch auf der Verpackung angedruckt?</v>
      </c>
      <c r="CR2" s="169" t="str">
        <f>VLOOKUP([1]Start!$H$20,[1]Header_Data!$A3:$GZ32,97,FALSE)</f>
        <v>31.3. Verpackung hat ein von außen deutlich erkennbares Herstelldatum?</v>
      </c>
      <c r="CS2" s="170" t="str">
        <f>VLOOKUP([1]Start!$H$20,[1]Header_Data!$A3:$GZ32,98,FALSE)</f>
        <v>32. Artikel ist ein Gerät?</v>
      </c>
      <c r="CT2" s="174" t="str">
        <f>VLOOKUP([1]Start!$H$20,[1]Header_Data!$A3:$GZ32,99,FALSE)</f>
        <v>32.1. Exakte Maße des Gerätes (ohne Umverpackung)</v>
      </c>
      <c r="CU2" s="175"/>
      <c r="CV2" s="176"/>
      <c r="CW2" s="169" t="str">
        <f>VLOOKUP([1]Start!$H$20,[1]Header_Data!$A3:$GZ32,102,FALSE)</f>
        <v>32.2. Fassungsvermögen des Gerätes?</v>
      </c>
      <c r="CX2" s="169" t="str">
        <f>VLOOKUP([1]Start!$H$20,[1]Header_Data!$A3:$GZ32,103,FALSE)</f>
        <v>32.3. Anwendungs-temperatur?</v>
      </c>
      <c r="CY2" s="169" t="str">
        <f>VLOOKUP([1]Start!$H$20,[1]Header_Data!$A3:$GZ32,104,FALSE)</f>
        <v>32.4. Leistung?</v>
      </c>
      <c r="CZ2" s="169" t="str">
        <f>VLOOKUP([1]Start!$H$20,[1]Header_Data!$A3:$GZ32,105,FALSE)</f>
        <v>32.5. Techniker ist zur Installation notwendig?</v>
      </c>
      <c r="DA2" s="177"/>
      <c r="DB2" s="169" t="str">
        <f>VLOOKUP([1]Start!$H$20,[1]Header_Data!$A3:$GZ32,107,FALSE)</f>
        <v>32.6.1. Anzahl der angedruckten Serialnummern
(Z. B. in einem Set)?</v>
      </c>
      <c r="DC2" s="177" t="s">
        <v>38</v>
      </c>
      <c r="DD2" s="169" t="str">
        <f>VLOOKUP([1]Start!$H$20,[1]Header_Data!$A3:$GZ32,109,FALSE)</f>
        <v>32.7.1. Artikel ist in Europa nach ElektroG (WEEE) registriert?</v>
      </c>
      <c r="DE2" s="169" t="str">
        <f>VLOOKUP([1]Start!$H$20,[1]Header_Data!$A3:$GZ32,110,FALSE)</f>
        <v>32.7.2. Artikel ist registrierungspflichtig nach ElektroG (WEEE)?</v>
      </c>
      <c r="DF2" s="177"/>
      <c r="DG2" s="169" t="str">
        <f>VLOOKUP([1]Start!$H$20,[1]Header_Data!$A3:$GZ32,112,FALSE)</f>
        <v>32.8.1. Artikel ist in Deutschland nach dem BattG registriert?</v>
      </c>
      <c r="DH2" s="169" t="str">
        <f>VLOOKUP([1]Start!$H$20,[1]Header_Data!$A3:$GZ32,113,FALSE)</f>
        <v>32.8.2. Batterie-/Akkutyp:</v>
      </c>
      <c r="DI2" s="169" t="str">
        <f>VLOOKUP([1]Start!$H$20,[1]Header_Data!$A3:$GZ32,114,FALSE)</f>
        <v>32.8.3. Anzahl der Batterien/ Akkus:</v>
      </c>
      <c r="DJ2" s="169" t="str">
        <f>VLOOKUP([1]Start!$H$20,[1]Header_Data!$A3:$GZ32,115,FALSE)</f>
        <v>32.8.4. Batterien/ Akkus sind fest verbaut?</v>
      </c>
      <c r="DK2" s="170" t="str">
        <f>VLOOKUP([1]Start!$H$20,[1]Header_Data!$A3:$GZ32,116,FALSE)</f>
        <v>33. Artikel hat Garantie oder Gewährleistung?</v>
      </c>
      <c r="DL2" s="169" t="str">
        <f>VLOOKUP([1]Start!$H$20,[1]Header_Data!$A3:$GZ32,117,FALSE)</f>
        <v>33.1. Gewährleistungsdauer nach Lieferung an Handel:</v>
      </c>
      <c r="DM2" s="169" t="str">
        <f>VLOOKUP([1]Start!$H$20,[1]Header_Data!$A3:$GZ32,118,FALSE)</f>
        <v>33.2. Gewährleistungsdauer nach Lieferung an unseren Kunden:</v>
      </c>
      <c r="DN2" s="169" t="str">
        <f>VLOOKUP([1]Start!$H$20,[1]Header_Data!$A3:$GZ32,119,FALSE)</f>
        <v>33.3. Garantiedauer ab Lieferung an den Handel</v>
      </c>
      <c r="DO2" s="169" t="str">
        <f>VLOOKUP([1]Start!$H$20,[1]Header_Data!$A3:$GZ32,120,FALSE)</f>
        <v>33.4. Garantiedauer nach Lieferung an unseren Kunden</v>
      </c>
      <c r="DP2" s="170" t="str">
        <f>VLOOKUP(Start!$H$20,Header_Data!$A3:$GZ32,121,FALSE)</f>
        <v>34. Verkaufsverpackung ist durch ein Duales System in Deutschland lizensiert?</v>
      </c>
      <c r="DQ2" s="178" t="str">
        <f>VLOOKUP(Start!$H$20,Header_Data!$A3:$GZ32,122,FALSE)</f>
        <v xml:space="preserve">34.1. Verpackungsgewicht der restentleerten Produktverpackung (Primärverpackung) </v>
      </c>
      <c r="DR2" s="179"/>
      <c r="DS2" s="179"/>
      <c r="DT2" s="179"/>
      <c r="DU2" s="179"/>
      <c r="DV2" s="180"/>
      <c r="DW2" s="169" t="str">
        <f>VLOOKUP(Start!$H$20,Header_Data!$A3:$GZ32,128,FALSE)</f>
        <v>34.2. restentleerte Produktverpackung darf über ein Duales System entsorgt werden?</v>
      </c>
      <c r="DX2" s="178" t="str">
        <f>VLOOKUP(Start!$H$20,Header_Data!$A3:$GZ32,129,FALSE)</f>
        <v>34.3. Verpackungsgewicht der Einzelverpackung (Sekundärverpackung)</v>
      </c>
      <c r="DY2" s="179"/>
      <c r="DZ2" s="179"/>
      <c r="EA2" s="179"/>
      <c r="EB2" s="179"/>
      <c r="EC2" s="180"/>
      <c r="ED2" s="169" t="str">
        <f>VLOOKUP(Start!$H$20,Header_Data!$A3:$GZ32,135,FALSE)</f>
        <v>34.4. Einzelverpackung darf über ein Duales System entsorgt werden?</v>
      </c>
      <c r="EE2" s="178" t="str">
        <f>VLOOKUP(Start!$H$20,Header_Data!$A3:$GZ32,136,FALSE)</f>
        <v xml:space="preserve">34.5. Verpackungsgewicht der Groß-/Bulkverpackung inkl. Füllmaterial (Tertiärverpackung) </v>
      </c>
      <c r="EF2" s="179"/>
      <c r="EG2" s="179"/>
      <c r="EH2" s="179"/>
      <c r="EI2" s="179"/>
      <c r="EJ2" s="180"/>
      <c r="EK2" s="169" t="str">
        <f>VLOOKUP(Start!$H$20,Header_Data!$A3:$GZ32,142,FALSE)</f>
        <v>34.6. Groß-/Bulkverpackung darf über ein Duales System entsorgt werden ?</v>
      </c>
      <c r="EL2" s="170" t="str">
        <f>VLOOKUP(Start!$H$20,Header_Data!$A3:$GZ32,143,FALSE)</f>
        <v>35. Mindest-bestellmenge</v>
      </c>
      <c r="EM2" s="170" t="str">
        <f>VLOOKUP(Start!$H$20,Header_Data!$A3:$GZ32,144,FALSE)</f>
        <v>36. Inhalt pro Einzelverpackung</v>
      </c>
      <c r="EN2" s="181" t="str">
        <f>VLOOKUP([1]Start!$H$20,[1]Header_Data!$A3:$GZ32,145,FALSE)</f>
        <v>37. Größe und Gewicht der Einzelverpackung</v>
      </c>
      <c r="EO2" s="182"/>
      <c r="EP2" s="182"/>
      <c r="EQ2" s="182"/>
      <c r="ER2" s="183"/>
      <c r="ES2" s="170" t="str">
        <f>VLOOKUP([1]Start!$H$20,[1]Header_Data!$A3:$GZ32,150,FALSE)</f>
        <v>38. Artikel hat eine Umverpackung?</v>
      </c>
      <c r="ET2" s="169" t="str">
        <f>VLOOKUP([1]Start!$H$20,[1]Header_Data!$A3:$GZ32,151,FALSE)</f>
        <v>38.1. Umverpackung darf geöffnet und der Artikel ohne diese versendet werden?</v>
      </c>
      <c r="EU2" s="184" t="str">
        <f>VLOOKUP([1]Start!$H$20,[1]Header_Data!$A3:$GZ32,152,FALSE)</f>
        <v>38.2. Anzahl der Einzelpackungen pro Umverpackung</v>
      </c>
      <c r="EV2" s="185" t="str">
        <f>VLOOKUP([1]Start!$H$20,[1]Header_Data!$A3:$GZ32,153,FALSE)</f>
        <v>38.3. Größe und Gewicht der Umverpackung inkl. der Einzelpackungen</v>
      </c>
      <c r="EW2" s="186"/>
      <c r="EX2" s="186"/>
      <c r="EY2" s="186"/>
      <c r="EZ2" s="187"/>
      <c r="FA2" s="170" t="str">
        <f>VLOOKUP([1]Start!$H$20,[1]Header_Data!$A3:$GZ32,158,FALSE)</f>
        <v>39. Gibt es Konfektionierungs-hinweise zu beachten?</v>
      </c>
      <c r="FB2" s="170" t="str">
        <f>VLOOKUP(Start!$H$20,Header_Data!$A3:$GZ32,162,FALSE)</f>
        <v>40. Zolltarif-Nr. / Warentarifnr.
(8-11-stellig)</v>
      </c>
      <c r="FC2" s="170" t="str">
        <f>VLOOKUP(Start!$H$20,Header_Data!$A3:$GZ32,164,FALSE)</f>
        <v>42. Ursprungsland</v>
      </c>
      <c r="FD2" s="170" t="str">
        <f>VLOOKUP(Start!$H$20,Header_Data!$A3:$GZ32,165,FALSE)</f>
        <v>43. Ursprungs-bundesland/-provinz (falls zutreffend)</v>
      </c>
      <c r="FE2" s="170" t="str">
        <f>VLOOKUP([1]Start!$H$20,[1]Header_Data!$A3:$GZ32,166,FALSE)</f>
        <v>44. Artikel mit Präferenzursprungs-eigenschaft? (nur anwendbar innerhalb EU)</v>
      </c>
      <c r="FF2" s="184" t="str">
        <f>VLOOKUP(Start!$H$20,Header_Data!$A3:$GZ32,167,FALSE)</f>
        <v>45. Unverbindliche Preisempfehlung</v>
      </c>
      <c r="FG2" s="184" t="str">
        <f>VLOOKUP(Start!$H$20,Header_Data!$A3:$GZ32,168,FALSE)</f>
        <v>45.1. Rabattgruppe (Zahn, Material, ...)</v>
      </c>
      <c r="FH2" s="170" t="str">
        <f>VLOOKUP(Start!$H$20,Header_Data!$A3:$GZ32,169,FALSE)</f>
        <v>46. Mehrwertsteuersatz für DE (voll oder verringert)</v>
      </c>
      <c r="FI2" s="170" t="str">
        <f>VLOOKUP([1]Start!$H$20,[1]Header_Data!$A3:$GZ32,170,FALSE)</f>
        <v>47. Besonderheiten und sonstige weitere Informationen zum Artikel aufführen bzw. anhängen</v>
      </c>
      <c r="FJ2" s="234" t="str">
        <f>VLOOKUP([1]Start!$H$20,[1]Header_Data!$A3:$GZ32,171,FALSE)</f>
        <v>47.1. Dateiname des Sicherheitsdatenblattes
(SD)</v>
      </c>
      <c r="FK2" s="234" t="str">
        <f>VLOOKUP([1]Start!$H$20,[1]Header_Data!$A3:$GZ32,172,FALSE)</f>
        <v>47.2. Dateiname des Bildes 
(BD)</v>
      </c>
      <c r="FL2" s="234" t="str">
        <f>VLOOKUP([1]Start!$H$20,[1]Header_Data!$A3:$GZ32,173,FALSE)</f>
        <v>47.3. Dateiname der Produktbeschreibung (PB) oder Stückliste (SL)</v>
      </c>
      <c r="FM2" s="234" t="str">
        <f>VLOOKUP([1]Start!$H$20,[1]Header_Data!$A3:$GZ32,174,FALSE)</f>
        <v>47.4. Dateiname der Arzneimittel-Fachinformation
(AF)</v>
      </c>
      <c r="FN2" s="234" t="str">
        <f>VLOOKUP([1]Start!$H$20,[1]Header_Data!$A3:$GZ32,175,FALSE)</f>
        <v>47.5. Dateiname der Konformitätserklärung für Medizinprodukte 
(KM)</v>
      </c>
      <c r="FO2" s="170" t="str">
        <f>VLOOKUP([1]Start!$H$20,[1]Header_Data!$A3:$GZ32,176,FALSE)</f>
        <v>48. Exklusivartikel</v>
      </c>
      <c r="FP2" s="184" t="str">
        <f>VLOOKUP([1]Start!$H$20,[1]Header_Data!$A3:$GZ32,177,FALSE)</f>
        <v>48.1. Exklusivartikel 
(berechtigte Händler)</v>
      </c>
      <c r="FQ2" s="170" t="str">
        <f>VLOOKUP([1]Start!$H$20,[1]Header_Data!$A3:$GZ32,178,FALSE)</f>
        <v>49. Artikel unterliegt der Verordnung (EU) 2016/425 über Persönliche Schutzausrüstung?</v>
      </c>
      <c r="FR2" s="184" t="str">
        <f>VLOOKUP([1]Start!$H$20,[1]Header_Data!$A3:$GZ32,179,FALSE)</f>
        <v xml:space="preserve">49.1. Kategorie der Persönlichen Schutzausrüstung </v>
      </c>
      <c r="FS2" s="170" t="str">
        <f>VLOOKUP([1]Start!$H$20,[1]Header_Data!$A3:$GZ32,180,FALSE)</f>
        <v>50. Ist Artikel ein Set?</v>
      </c>
      <c r="FT2" s="184" t="s">
        <v>662</v>
      </c>
      <c r="FU2" s="184" t="str">
        <f>VLOOKUP([1]Start!$H$20,[1]Header_Data!$A3:$GZ32,181,FALSE)</f>
        <v>22.4. MDR oder MDD Zulassung?</v>
      </c>
      <c r="FV2" s="184" t="str">
        <f>VLOOKUP([1]Start!$H$20,[1]Header_Data!$A3:$GZ32,182,FALSE)</f>
        <v>22.5. Basis UDI-DI</v>
      </c>
      <c r="FW2" s="184" t="str">
        <f>VLOOKUP([1]Start!$H$20,[1]Header_Data!$A3:$GZ32,183,FALSE)</f>
        <v>22.6. benannte Stelle</v>
      </c>
      <c r="FX2" s="184" t="str">
        <f>VLOOKUP([1]Start!$H$20,[1]Header_Data!$A3:$GZ32,184,FALSE)</f>
        <v>22.7. Gültigkeit der Konformitätserklärung bis…</v>
      </c>
      <c r="FY2" s="184" t="s">
        <v>39</v>
      </c>
    </row>
    <row r="3" spans="1:181" s="189" customFormat="1" ht="86.1" customHeight="1" x14ac:dyDescent="0.3">
      <c r="A3" s="190"/>
      <c r="B3" s="191" t="str">
        <f>VLOOKUP(Start!$H$21,Header_Data!$A3:$GZ32,3,FALSE)</f>
        <v>2.1. Name</v>
      </c>
      <c r="C3" s="191" t="str">
        <f>VLOOKUP(Start!$H$21,Header_Data!$A3:$GZ32,4,FALSE)</f>
        <v>2.2. Telefonnummer</v>
      </c>
      <c r="D3" s="191" t="str">
        <f>VLOOKUP(Start!$H$21,Header_Data!$A3:$GZ32,5,FALSE)</f>
        <v>2.3. Email-Adresse</v>
      </c>
      <c r="E3" s="192"/>
      <c r="F3" s="192"/>
      <c r="G3" s="193"/>
      <c r="H3" s="193"/>
      <c r="I3" s="193"/>
      <c r="J3" s="193"/>
      <c r="K3" s="192"/>
      <c r="L3" s="193"/>
      <c r="M3" s="193"/>
      <c r="N3" s="192"/>
      <c r="O3" s="192"/>
      <c r="P3" s="192"/>
      <c r="Q3" s="192"/>
      <c r="R3" s="192"/>
      <c r="S3" s="192"/>
      <c r="T3" s="192"/>
      <c r="U3" s="192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2"/>
      <c r="AG3" s="193"/>
      <c r="AH3" s="192"/>
      <c r="AI3" s="192"/>
      <c r="AJ3" s="192"/>
      <c r="AK3" s="192"/>
      <c r="AL3" s="193"/>
      <c r="AM3" s="192"/>
      <c r="AN3" s="193"/>
      <c r="AO3" s="192"/>
      <c r="AP3" s="194" t="str">
        <f>VLOOKUP([1]Start!$H$21,[1]Header_Data!$A3:$GZ32,43,FALSE)</f>
        <v xml:space="preserve">20.1.1.
Min. </v>
      </c>
      <c r="AQ3" s="194" t="str">
        <f>VLOOKUP([1]Start!$H$21,[1]Header_Data!$A3:$GZ32,44,FALSE)</f>
        <v xml:space="preserve">20.1.2.
Max. </v>
      </c>
      <c r="AR3" s="194" t="str">
        <f>VLOOKUP([1]Start!$H$21,[1]Header_Data!$A3:$GZ32,45,FALSE)</f>
        <v xml:space="preserve">20.2.1.
Min. </v>
      </c>
      <c r="AS3" s="194" t="str">
        <f>VLOOKUP([1]Start!$H$21,[1]Header_Data!$A3:$GZ32,46,FALSE)</f>
        <v xml:space="preserve">20.2.2.
Max. </v>
      </c>
      <c r="AT3" s="193"/>
      <c r="AU3" s="193"/>
      <c r="AV3" s="192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2"/>
      <c r="BI3" s="193"/>
      <c r="BJ3" s="193"/>
      <c r="BK3" s="193"/>
      <c r="BL3" s="192"/>
      <c r="BM3" s="193"/>
      <c r="BN3" s="192"/>
      <c r="BO3" s="193"/>
      <c r="BP3" s="192"/>
      <c r="BQ3" s="192"/>
      <c r="BR3" s="192"/>
      <c r="BS3" s="192"/>
      <c r="BT3" s="193"/>
      <c r="BU3" s="193"/>
      <c r="BV3" s="192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2"/>
      <c r="CO3" s="192"/>
      <c r="CP3" s="193"/>
      <c r="CQ3" s="193"/>
      <c r="CR3" s="193"/>
      <c r="CS3" s="192"/>
      <c r="CT3" s="195" t="str">
        <f>VLOOKUP([1]Start!$H$21,[1]Header_Data!$A3:$GZ32,99,FALSE)</f>
        <v>32.1.1. Länge</v>
      </c>
      <c r="CU3" s="195" t="str">
        <f>VLOOKUP([1]Start!$H$21,[1]Header_Data!$A3:$GZ32,100,FALSE)</f>
        <v>32.1.2. Breite</v>
      </c>
      <c r="CV3" s="195" t="str">
        <f>VLOOKUP([1]Start!$H$21,[1]Header_Data!$A3:$GZ32,100,FALSE)</f>
        <v>32.1.2. Breite</v>
      </c>
      <c r="CW3" s="193"/>
      <c r="CX3" s="193"/>
      <c r="CY3" s="193"/>
      <c r="CZ3" s="193"/>
      <c r="DA3" s="191" t="str">
        <f>VLOOKUP([1]Start!$H$21,[1]Header_Data!$A3:$GZ32,106,FALSE)</f>
        <v>32.6. Geräteserialnummer vorhanden?</v>
      </c>
      <c r="DB3" s="193"/>
      <c r="DC3" s="191" t="str">
        <f>VLOOKUP([1]Start!$H$21,[1]Header_Data!$A3:$GZ32,108,FALSE)</f>
        <v xml:space="preserve">32.7. Ist der Artikel strombetrieben? </v>
      </c>
      <c r="DD3" s="193"/>
      <c r="DE3" s="193"/>
      <c r="DF3" s="191" t="str">
        <f>VLOOKUP([1]Start!$H$21,[1]Header_Data!$A3:$GZ32,111,FALSE)</f>
        <v>32.8. Artikel enthält Batterien/Akkus?</v>
      </c>
      <c r="DG3" s="193"/>
      <c r="DH3" s="193"/>
      <c r="DI3" s="193"/>
      <c r="DJ3" s="193"/>
      <c r="DK3" s="192"/>
      <c r="DL3" s="193"/>
      <c r="DM3" s="193"/>
      <c r="DN3" s="193"/>
      <c r="DO3" s="193"/>
      <c r="DP3" s="192"/>
      <c r="DQ3" s="196" t="str">
        <f>VLOOKUP(Start!$H$21,Header_Data!$A3:$GZ32,122,FALSE)</f>
        <v>34.1.1. Kunststoff</v>
      </c>
      <c r="DR3" s="196" t="str">
        <f>VLOOKUP(Start!$H$21,Header_Data!$A3:$GZ32,123,FALSE)</f>
        <v>34.1.2. PPK</v>
      </c>
      <c r="DS3" s="196" t="str">
        <f>VLOOKUP(Start!$H$21,Header_Data!$A3:$GZ32,124,FALSE)</f>
        <v>34.1.3. Sonstige Verbunde</v>
      </c>
      <c r="DT3" s="196" t="str">
        <f>VLOOKUP(Start!$H$21,Header_Data!$A3:$GZ32,125,FALSE)</f>
        <v>34.1.4. Glas</v>
      </c>
      <c r="DU3" s="196" t="str">
        <f>VLOOKUP(Start!$H$21,Header_Data!$A3:$GZ32,126,FALSE)</f>
        <v>34.1.5. Aluminium</v>
      </c>
      <c r="DV3" s="196" t="str">
        <f>VLOOKUP(Start!$H$21,Header_Data!$A3:$GZ32,127,FALSE)</f>
        <v>34.1.6. Eisenmetalle</v>
      </c>
      <c r="DW3" s="193"/>
      <c r="DX3" s="196" t="str">
        <f>VLOOKUP(Start!$H$21,Header_Data!$A3:$GZ32,129,FALSE)</f>
        <v>34.3.1. Kunststoff</v>
      </c>
      <c r="DY3" s="196" t="str">
        <f>VLOOKUP(Start!$H$21,Header_Data!$A3:$GZ32,130,FALSE)</f>
        <v>34.3.2. PPK</v>
      </c>
      <c r="DZ3" s="196" t="str">
        <f>VLOOKUP(Start!$H$21,Header_Data!$A3:$GZ32,131,FALSE)</f>
        <v>34.3.3. Sonstige Verbunde</v>
      </c>
      <c r="EA3" s="196" t="str">
        <f>VLOOKUP(Start!$H$21,Header_Data!$A3:$GZ32,132,FALSE)</f>
        <v>34.3.4. Glas</v>
      </c>
      <c r="EB3" s="196" t="str">
        <f>VLOOKUP(Start!$H$21,Header_Data!$A3:$GZ32,133,FALSE)</f>
        <v>34.3.5. Aluminium</v>
      </c>
      <c r="EC3" s="196" t="str">
        <f>VLOOKUP(Start!$H$21,Header_Data!$A3:$GZ32,134,FALSE)</f>
        <v>34.3.6. Eisenmetalle</v>
      </c>
      <c r="ED3" s="193"/>
      <c r="EE3" s="196" t="str">
        <f>VLOOKUP(Start!$H$21,Header_Data!$A3:$GZ32,136,FALSE)</f>
        <v>34.5.1. Kunststoff</v>
      </c>
      <c r="EF3" s="196" t="str">
        <f>VLOOKUP(Start!$H$21,Header_Data!$A3:$GZ32,137,FALSE)</f>
        <v>34.5.2. PPK</v>
      </c>
      <c r="EG3" s="196" t="str">
        <f>VLOOKUP(Start!$H$21,Header_Data!$A3:$GZ32,138,FALSE)</f>
        <v>34.5.3. Sonstige Verbunde</v>
      </c>
      <c r="EH3" s="196" t="str">
        <f>VLOOKUP(Start!$H$21,Header_Data!$A3:$GZ32,139,FALSE)</f>
        <v>34.5.4. Glas</v>
      </c>
      <c r="EI3" s="196" t="str">
        <f>VLOOKUP(Start!$H$21,Header_Data!$A3:$GZ32,140,FALSE)</f>
        <v>34.5.5. Aluminium</v>
      </c>
      <c r="EJ3" s="196" t="str">
        <f>VLOOKUP(Start!$H$21,Header_Data!$A3:$GZ32,141,FALSE)</f>
        <v>34.5.6. Eisenmetalle</v>
      </c>
      <c r="EK3" s="193"/>
      <c r="EL3" s="192"/>
      <c r="EM3" s="192"/>
      <c r="EN3" s="191" t="str">
        <f>VLOOKUP([1]Start!$H$21,[1]Header_Data!$A3:$GZ32,145,FALSE)</f>
        <v xml:space="preserve">37.1. Länge </v>
      </c>
      <c r="EO3" s="191" t="str">
        <f>VLOOKUP([1]Start!$H$21,[1]Header_Data!$A3:$GZ32,146,FALSE)</f>
        <v xml:space="preserve">37.2. Breite </v>
      </c>
      <c r="EP3" s="191" t="str">
        <f>VLOOKUP([1]Start!$H$21,[1]Header_Data!$A3:$GZ32,147,FALSE)</f>
        <v>37.3. Höhe</v>
      </c>
      <c r="EQ3" s="191" t="str">
        <f>VLOOKUP([1]Start!$H$21,[1]Header_Data!$A3:$GZ32,148,FALSE)</f>
        <v xml:space="preserve">37.4. Bruttogewicht </v>
      </c>
      <c r="ER3" s="191" t="str">
        <f>VLOOKUP([1]Start!$H$21,[1]Header_Data!$A3:$GZ32,149,FALSE)</f>
        <v xml:space="preserve">37.5. Nettogewicht </v>
      </c>
      <c r="ES3" s="192"/>
      <c r="ET3" s="193"/>
      <c r="EU3" s="197"/>
      <c r="EV3" s="198" t="str">
        <f>VLOOKUP([1]Start!$H$21,[1]Header_Data!$A3:$GZ32,153,FALSE)</f>
        <v>38.3.1. Länge</v>
      </c>
      <c r="EW3" s="198" t="str">
        <f>VLOOKUP([1]Start!$H$21,[1]Header_Data!$A3:$GZ32,154,FALSE)</f>
        <v>38.3.2. Breite</v>
      </c>
      <c r="EX3" s="198" t="str">
        <f>VLOOKUP([1]Start!$H$21,[1]Header_Data!$A3:$GZ32,155,FALSE)</f>
        <v>38.3.3. Höhe</v>
      </c>
      <c r="EY3" s="198" t="str">
        <f>VLOOKUP([1]Start!$H$21,[1]Header_Data!$A3:$GZ32,156,FALSE)</f>
        <v xml:space="preserve">38.3.4. Bruttogewicht </v>
      </c>
      <c r="EZ3" s="198" t="str">
        <f>VLOOKUP([1]Start!$H$21,[1]Header_Data!$A3:$GZ32,157,FALSE)</f>
        <v xml:space="preserve">38.3.5. Nettogewicht </v>
      </c>
      <c r="FA3" s="192"/>
      <c r="FB3" s="192"/>
      <c r="FC3" s="192"/>
      <c r="FD3" s="192"/>
      <c r="FE3" s="192"/>
      <c r="FF3" s="197"/>
      <c r="FG3" s="197"/>
      <c r="FH3" s="192"/>
      <c r="FI3" s="192"/>
      <c r="FJ3" s="235"/>
      <c r="FK3" s="235"/>
      <c r="FL3" s="235"/>
      <c r="FM3" s="235"/>
      <c r="FN3" s="235"/>
      <c r="FO3" s="192"/>
      <c r="FP3" s="197"/>
      <c r="FQ3" s="192"/>
      <c r="FR3" s="197"/>
      <c r="FS3" s="192"/>
      <c r="FT3" s="197"/>
      <c r="FU3" s="197"/>
      <c r="FV3" s="197"/>
      <c r="FW3" s="197"/>
      <c r="FX3" s="197"/>
      <c r="FY3" s="197"/>
    </row>
    <row r="4" spans="1:181" s="205" customFormat="1" ht="58.5" customHeight="1" outlineLevel="1" x14ac:dyDescent="0.3">
      <c r="A4" s="200" t="str">
        <f>VLOOKUP(Start!$H$22,Header_Data!$A3:$GZ32,2,FALSE)</f>
        <v>!Y</v>
      </c>
      <c r="B4" s="201" t="str">
        <f>VLOOKUP(Start!$H$22,Header_Data!$A3:$GZ32,3,FALSE)</f>
        <v>Textfeld</v>
      </c>
      <c r="C4" s="201" t="str">
        <f>VLOOKUP(Start!$H$22,Header_Data!$A3:$GZ32,4,FALSE)</f>
        <v>Textfeld</v>
      </c>
      <c r="D4" s="201" t="str">
        <f>VLOOKUP(Start!$H$22,Header_Data!$A3:$GZ32,5,FALSE)</f>
        <v>Textfeld</v>
      </c>
      <c r="E4" s="201" t="str">
        <f>VLOOKUP(Start!$H$22,Header_Data!$A3:$GZ32,6,FALSE)</f>
        <v>Datum (tt.mm.jjjj)</v>
      </c>
      <c r="F4" s="201" t="str">
        <f>VLOOKUP(Start!$H$22,Header_Data!$A3:$GZ32,7,FALSE)</f>
        <v xml:space="preserve">N=Neuanlage 
A=Änderung 
Z=nicht mehr lieferbar </v>
      </c>
      <c r="G4" s="201" t="str">
        <f>VLOOKUP(Start!$H$22,Header_Data!$A3:$GZ32,8,FALSE)</f>
        <v>alphanumerisch</v>
      </c>
      <c r="H4" s="201" t="str">
        <f>VLOOKUP(Start!$H$22,Header_Data!$A3:$GZ32,9,FALSE)</f>
        <v>Datum (tt.mm.jjjj)</v>
      </c>
      <c r="I4" s="201" t="str">
        <f>VLOOKUP(Start!$H$22,Header_Data!$A3:$GZ32,10,FALSE)</f>
        <v>Datum (tt.mm.jjjj)</v>
      </c>
      <c r="J4" s="201" t="str">
        <f>VLOOKUP(Start!$H$22,Header_Data!$A3:$GZ32,11,FALSE)</f>
        <v>Beutel, Dose, Eimer, Flasche, Kanister, Karton, Muster, Packung, Rolle, Set, Spender, Spritze, Stück, Tube, Nachfüllpackung, Großpackung …</v>
      </c>
      <c r="K4" s="201" t="str">
        <f>VLOOKUP(Start!$H$22,Header_Data!$A3:$GZ32,12,FALSE)</f>
        <v>(J/N)</v>
      </c>
      <c r="L4" s="201" t="str">
        <f>VLOOKUP(Start!$H$22,Header_Data!$A3:$GZ32,13,FALSE)</f>
        <v>Datum (tt.mm.jjjj)</v>
      </c>
      <c r="M4" s="201" t="str">
        <f>VLOOKUP(Start!$H$22,Header_Data!$A3:$GZ32,14,FALSE)</f>
        <v>alphanumerisch</v>
      </c>
      <c r="N4" s="201" t="str">
        <f>VLOOKUP(Start!$H$22,Header_Data!$A3:$GZ32,15,FALSE)</f>
        <v>Textfeld</v>
      </c>
      <c r="O4" s="201" t="str">
        <f>VLOOKUP(Start!$H$22,Header_Data!$A3:$GZ32,16,FALSE)</f>
        <v>alphanumerisch
Wenn Hersteller = Lieferant, dann exakte Hersteller-Artikelnummer angeben.</v>
      </c>
      <c r="P4" s="201" t="str">
        <f>VLOOKUP(Start!$H$22,Header_Data!$A3:$GZ32,17,FALSE)</f>
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</c>
      <c r="Q4" s="201" t="str">
        <f>VLOOKUP(Start!$H$22,Header_Data!$A3:$GZ32,18,FALSE)</f>
        <v>Textfeld
Bitte ausfüllen, wenn Lieferant und Hersteller nicht identisch sind.</v>
      </c>
      <c r="R4" s="201" t="str">
        <f>VLOOKUP(Start!$H$22,Header_Data!$A3:$GZ32,19,FALSE)</f>
        <v>Textfeld
Bitte ausfüllen, wenn Lieferant und Hersteller nicht identisch sind.</v>
      </c>
      <c r="S4" s="201" t="str">
        <f>VLOOKUP([1]Start!$H$22,[1]Header_Data!$A3:$GZ32,20,FALSE)</f>
        <v>Länder bitte durch Ländercodes nach ISO 3166 angeben und durch / voneinander trennen.</v>
      </c>
      <c r="T4" s="201" t="str">
        <f>VLOOKUP([1]Start!$H$22,[1]Header_Data!$A3:$GZ32,21,FALSE)</f>
        <v>(N/i/o</v>
      </c>
      <c r="U4" s="201" t="str">
        <f>VLOOKUP([1]Start!$H$22,[1]Header_Data!$A3:$GZ32,22,FALSE)</f>
        <v>(J/N)</v>
      </c>
      <c r="V4" s="201" t="str">
        <f>VLOOKUP([1]Start!$H$22,[1]Header_Data!$A3:$GZ32,23,FALSE)</f>
        <v>numerisch</v>
      </c>
      <c r="W4" s="201" t="str">
        <f>VLOOKUP([1]Start!$H$22,[1]Header_Data!$A3:$GZ32,24,FALSE)</f>
        <v>numerisch</v>
      </c>
      <c r="X4" s="201" t="str">
        <f>VLOOKUP([1]Start!$H$22,[1]Header_Data!$A3:$GZ32,25,FALSE)</f>
        <v>numerisch</v>
      </c>
      <c r="Y4" s="201" t="str">
        <f>VLOOKUP([1]Start!$H$22,[1]Header_Data!$A3:$GZ32,26,FALSE)</f>
        <v>numerisch</v>
      </c>
      <c r="Z4" s="201" t="str">
        <f>VLOOKUP([1]Start!$H$22,[1]Header_Data!$A3:$GZ32,27,FALSE)</f>
        <v>alphanumerisch</v>
      </c>
      <c r="AA4" s="201" t="str">
        <f>VLOOKUP([1]Start!$H$22,[1]Header_Data!$A3:$GZ32,28,FALSE)</f>
        <v>alphanumerisch</v>
      </c>
      <c r="AB4" s="201" t="str">
        <f>VLOOKUP([1]Start!$H$22,[1]Header_Data!$A3:$GZ32,29,FALSE)</f>
        <v>alphanumerisch</v>
      </c>
      <c r="AC4" s="201" t="str">
        <f>VLOOKUP([1]Start!$H$22,[1]Header_Data!$A3:$GZ32,30,FALSE)</f>
        <v>alphanumerisch</v>
      </c>
      <c r="AD4" s="201" t="str">
        <f>VLOOKUP([1]Start!$H$22,[1]Header_Data!$A3:$GZ32,31,FALSE)</f>
        <v>numerisch</v>
      </c>
      <c r="AE4" s="201" t="str">
        <f>VLOOKUP([1]Start!$H$22,[1]Header_Data!$A3:$GZ32,32,FALSE)</f>
        <v>numerisch</v>
      </c>
      <c r="AF4" s="201" t="str">
        <f>VLOOKUP([1]Start!$H$22,[1]Header_Data!$A3:$GZ32,33,FALSE)</f>
        <v>(numerisch / N)</v>
      </c>
      <c r="AG4" s="201" t="str">
        <f>VLOOKUP([1]Start!$H$22,[1]Header_Data!$A3:$GZ32,34,FALSE)</f>
        <v>alphanumerisch</v>
      </c>
      <c r="AH4" s="201" t="str">
        <f>VLOOKUP([1]Start!$H$22,[1]Header_Data!$A3:$GZ32,35,FALSE)</f>
        <v>Dental = DENT
Humanmedizin = MED
Veterinär = VET
durch / voneinander trennen</v>
      </c>
      <c r="AI4" s="201" t="str">
        <f>VLOOKUP([1]Start!$H$22,[1]Header_Data!$A3:$GZ32,36,FALSE)</f>
        <v>P = Praxis
L = Labor 
B = beides</v>
      </c>
      <c r="AJ4" s="201" t="str">
        <f>VLOOKUP([1]Start!$H$22,[1]Header_Data!$A3:$GZ32,37,FALSE)</f>
        <v>(J/N)</v>
      </c>
      <c r="AK4" s="201" t="str">
        <f>VLOOKUP([1]Start!$H$22,[1]Header_Data!$A3:$GZ32,38,FALSE)</f>
        <v>(J/N)</v>
      </c>
      <c r="AL4" s="201" t="str">
        <f>VLOOKUP([1]Start!$H$22,[1]Header_Data!$A3:$GZ32,39,FALSE)</f>
        <v>Sprachen bitte durch Ländercode nach ISO 3166 angeben und durch / voneinander trennen.</v>
      </c>
      <c r="AM4" s="201" t="str">
        <f>VLOOKUP([1]Start!$H$22,[1]Header_Data!$A3:$GZ32,40,FALSE)</f>
        <v>(J/N)</v>
      </c>
      <c r="AN4" s="201" t="str">
        <f>VLOOKUP([1]Start!$H$22,[1]Header_Data!$A3:$GZ32,41,FALSE)</f>
        <v>Sprachen bitte durch Ländercode nach ISO 3166 angeben und durch / voneinander trennen.</v>
      </c>
      <c r="AO4" s="201" t="str">
        <f>VLOOKUP([1]Start!$H$22,[1]Header_Data!$A3:$GZ32,42,FALSE)</f>
        <v>(J/N)</v>
      </c>
      <c r="AP4" s="202" t="str">
        <f>VLOOKUP([1]Start!$H$22,[1]Header_Data!$A3:$GZ32,43,FALSE)</f>
        <v>in °C</v>
      </c>
      <c r="AQ4" s="203"/>
      <c r="AR4" s="203"/>
      <c r="AS4" s="204"/>
      <c r="AT4" s="201" t="str">
        <f>VLOOKUP([1]Start!$H$22,[1]Header_Data!$A3:$GZ32,47,FALSE)</f>
        <v>in Stunden (h)</v>
      </c>
      <c r="AU4" s="201" t="str">
        <f>VLOOKUP([1]Start!$H$22,[1]Header_Data!$A3:$GZ32,48,FALSE)</f>
        <v>(J/N)</v>
      </c>
      <c r="AV4" s="201" t="str">
        <f>VLOOKUP([1]Start!$H$22,[1]Header_Data!$A3:$GZ32,49,FALSE)</f>
        <v>(J/N)</v>
      </c>
      <c r="AW4" s="201" t="str">
        <f>VLOOKUP([1]Start!$H$22,[1]Header_Data!$A3:$GZ32,50,FALSE)</f>
        <v>(J/N)</v>
      </c>
      <c r="AX4" s="201" t="str">
        <f>VLOOKUP([1]Start!$H$22,[1]Header_Data!$A3:$GZ32,51,FALSE)</f>
        <v>(J/N)</v>
      </c>
      <c r="AY4" s="201" t="str">
        <f>VLOOKUP([1]Start!$H$22,[1]Header_Data!$A3:$GZ32,52,FALSE)</f>
        <v>(J/N)</v>
      </c>
      <c r="AZ4" s="201" t="str">
        <f>VLOOKUP([1]Start!$H$22,[1]Header_Data!$A3:$GZ32,53,FALSE)</f>
        <v>(J/N)</v>
      </c>
      <c r="BA4" s="201" t="str">
        <f>VLOOKUP([1]Start!$H$22,[1]Header_Data!$A3:$GZ32,54,FALSE)</f>
        <v>(J/N)</v>
      </c>
      <c r="BB4" s="201" t="str">
        <f>VLOOKUP([1]Start!$H$22,[1]Header_Data!$A3:$GZ32,55,FALSE)</f>
        <v>(J/N)</v>
      </c>
      <c r="BC4" s="201" t="str">
        <f>VLOOKUP([1]Start!$H$22,[1]Header_Data!$A3:$GZ32,56,FALSE)</f>
        <v>(J/N)</v>
      </c>
      <c r="BD4" s="201" t="str">
        <f>VLOOKUP([1]Start!$H$22,[1]Header_Data!$A3:$GZ32,57,FALSE)</f>
        <v>(J/N)</v>
      </c>
      <c r="BE4" s="201" t="str">
        <f>VLOOKUP([1]Start!$H$22,[1]Header_Data!$A3:$GZ32,58,FALSE)</f>
        <v>(J/N)</v>
      </c>
      <c r="BF4" s="201" t="str">
        <f>VLOOKUP([1]Start!$H$22,[1]Header_Data!$A3:$GZ32,59,FALSE)</f>
        <v>Länder bitte durch Ländercodes nach ISO 3166 angeben und durch / voneinander trennen.</v>
      </c>
      <c r="BG4" s="201" t="str">
        <f>VLOOKUP([1]Start!$H$22,[1]Header_Data!$A3:$GZ32,60,FALSE)</f>
        <v>alphanumerisch</v>
      </c>
      <c r="BH4" s="201" t="str">
        <f>VLOOKUP([1]Start!$H$22,[1]Header_Data!$A3:$GZ32,61,FALSE)</f>
        <v>(J/N)</v>
      </c>
      <c r="BI4" s="201" t="str">
        <f>VLOOKUP([1]Start!$H$22,[1]Header_Data!$A3:$GZ32,62,FALSE)</f>
        <v>(I, Is, Im, IIa, IIb, III, IVD)</v>
      </c>
      <c r="BJ4" s="201" t="str">
        <f>VLOOKUP([1]Start!$H$22,[1]Header_Data!$A3:$GZ32,63,FALSE)</f>
        <v>(J/N)</v>
      </c>
      <c r="BK4" s="201" t="str">
        <f>VLOOKUP([1]Start!$H$22,[1]Header_Data!$A3:$GZ32,64,FALSE)</f>
        <v>(J/N)</v>
      </c>
      <c r="BL4" s="201" t="str">
        <f>VLOOKUP(Start!$H$22,Header_Data!$A3:$GZ32,65,FALSE)</f>
        <v>(J/N)</v>
      </c>
      <c r="BM4" s="201" t="str">
        <f>VLOOKUP(Start!$H$22,Header_Data!$A3:$GZ32,66,FALSE)</f>
        <v>(J/N)</v>
      </c>
      <c r="BN4" s="201" t="str">
        <f>VLOOKUP([1]Start!$H$22,[1]Header_Data!$A3:$GZ32,67,FALSE)</f>
        <v>(J/N)</v>
      </c>
      <c r="BO4" s="201" t="str">
        <f>VLOOKUP([1]Start!$H$22,[1]Header_Data!$A3:$GZ32,68,FALSE)</f>
        <v>numerisch</v>
      </c>
      <c r="BP4" s="201" t="str">
        <f>VLOOKUP([1]Start!$H$22,[1]Header_Data!$A3:$GZ32,69,FALSE)</f>
        <v>(J/N)</v>
      </c>
      <c r="BQ4" s="201" t="str">
        <f>VLOOKUP([1]Start!$H$22,[1]Header_Data!$A3:$GZ32,70,FALSE)</f>
        <v>(J/N)</v>
      </c>
      <c r="BR4" s="201" t="str">
        <f>VLOOKUP([1]Start!$H$22,[1]Header_Data!$A3:$GZ32,71,FALSE)</f>
        <v>in Gramm (g) oder Prozent (%) Wenn vorhanden, bitte beides angeben (Bsp. 3g / 15%)</v>
      </c>
      <c r="BS4" s="201" t="str">
        <f>VLOOKUP([1]Start!$H$22,[1]Header_Data!$A3:$GZ32,72,FALSE)</f>
        <v>(J/N)
Wenn ein SDB vorhanden ist, dann muss dieses zwingend als Anhang mitgeschickt werden!</v>
      </c>
      <c r="BT4" s="201" t="str">
        <f>VLOOKUP([1]Start!$H$22,[1]Header_Data!$A3:$GZ32,73,FALSE)</f>
        <v>Datum (tt.mm.jjjj)</v>
      </c>
      <c r="BU4" s="201" t="str">
        <f>VLOOKUP([1]Start!$H$22,[1]Header_Data!$A3:$GZ32,74,FALSE)</f>
        <v>(J/N)</v>
      </c>
      <c r="BV4" s="201" t="str">
        <f>VLOOKUP([1]Start!$H$22,[1]Header_Data!$A3:$GZ32,75,FALSE)</f>
        <v>(J/N)</v>
      </c>
      <c r="BW4" s="201" t="str">
        <f>VLOOKUP([1]Start!$H$22,[1]Header_Data!$A3:$GZ32,76,FALSE)</f>
        <v>(J/N)</v>
      </c>
      <c r="BX4" s="201" t="str">
        <f>VLOOKUP([1]Start!$H$22,[1]Header_Data!$A3:$GZ32,77,FALSE)</f>
        <v>numerisch</v>
      </c>
      <c r="BY4" s="201" t="str">
        <f>VLOOKUP([1]Start!$H$22,[1]Header_Data!$A3:$GZ32,78,FALSE)</f>
        <v>Textfeld</v>
      </c>
      <c r="BZ4" s="201" t="str">
        <f>VLOOKUP([1]Start!$H$22,[1]Header_Data!$A3:$GZ32,79,FALSE)</f>
        <v>numerisch</v>
      </c>
      <c r="CA4" s="201" t="str">
        <f>VLOOKUP([1]Start!$H$22,[1]Header_Data!$A3:$GZ32,80,FALSE)</f>
        <v>numerisch</v>
      </c>
      <c r="CB4" s="201" t="str">
        <f>VLOOKUP([1]Start!$H$22,[1]Header_Data!$A3:$GZ32,81,FALSE)</f>
        <v>numerisch</v>
      </c>
      <c r="CC4" s="201" t="str">
        <f>VLOOKUP([1]Start!$H$22,[1]Header_Data!$A3:$GZ32,82,FALSE)</f>
        <v>numerisch</v>
      </c>
      <c r="CD4" s="201" t="str">
        <f>VLOOKUP([1]Start!$H$22,[1]Header_Data!$A3:$GZ32,83,FALSE)</f>
        <v>numerisch</v>
      </c>
      <c r="CE4" s="201" t="str">
        <f>VLOOKUP([1]Start!$H$22,[1]Header_Data!$A3:$GZ32,84,FALSE)</f>
        <v>numerisch</v>
      </c>
      <c r="CF4" s="201" t="str">
        <f>VLOOKUP([1]Start!$H$22,[1]Header_Data!$A3:$GZ32,85,FALSE)</f>
        <v>numerisch</v>
      </c>
      <c r="CG4" s="201" t="str">
        <f>VLOOKUP([1]Start!$H$22,[1]Header_Data!$A3:$GZ32,86,FALSE)</f>
        <v>Bitte vollständigen Code inkl. Klammern angeben.</v>
      </c>
      <c r="CH4" s="201" t="str">
        <f>VLOOKUP([1]Start!$H$22,[1]Header_Data!$A3:$GZ32,87,FALSE)</f>
        <v>numerisch</v>
      </c>
      <c r="CI4" s="201" t="str">
        <f>VLOOKUP([1]Start!$H$22,[1]Header_Data!$A3:$GZ32,88,FALSE)</f>
        <v>numerisch
in Milliliter (ml) oder Gramm (g)</v>
      </c>
      <c r="CJ4" s="201" t="str">
        <f>VLOOKUP([1]Start!$H$22,[1]Header_Data!$A3:$GZ32,89,FALSE)</f>
        <v xml:space="preserve">Fass, Kanister, Kiste, Sack, 
Kombinationsverpackung, 
Feinstblechverpackung
</v>
      </c>
      <c r="CK4" s="201" t="str">
        <f>VLOOKUP([1]Start!$H$22,[1]Header_Data!$A3:$GZ32,90,FALSE)</f>
        <v>(J/N)</v>
      </c>
      <c r="CL4" s="201" t="str">
        <f>VLOOKUP([1]Start!$H$22,[1]Header_Data!$A3:$GZ32,91,FALSE)</f>
        <v>numerisch</v>
      </c>
      <c r="CM4" s="201" t="str">
        <f>VLOOKUP([1]Start!$H$22,[1]Header_Data!$A3:$GZ32,92,FALSE)</f>
        <v>(J/N)</v>
      </c>
      <c r="CN4" s="201" t="str">
        <f>VLOOKUP(Start!$H$22,Header_Data!$A3:$GZ32,93,FALSE)</f>
        <v>(J/N)</v>
      </c>
      <c r="CO4" s="201" t="str">
        <f>VLOOKUP([1]Start!$H$22,[1]Header_Data!$A3:$GZ32,94,FALSE)</f>
        <v>(J/N)</v>
      </c>
      <c r="CP4" s="201" t="str">
        <f>VLOOKUP([1]Start!$H$22,[1]Header_Data!$A3:$GZ32,95,FALSE)</f>
        <v>(J/N)</v>
      </c>
      <c r="CQ4" s="201" t="str">
        <f>VLOOKUP([1]Start!$H$22,[1]Header_Data!$A3:$GZ32,96,FALSE)</f>
        <v>(J/N)</v>
      </c>
      <c r="CR4" s="201" t="str">
        <f>VLOOKUP([1]Start!$H$22,[1]Header_Data!$A3:$GZ32,97,FALSE)</f>
        <v>(J/N)</v>
      </c>
      <c r="CS4" s="201" t="str">
        <f>VLOOKUP([1]Start!$H$22,[1]Header_Data!$A3:$GZ32,98,FALSE)</f>
        <v>(J/N)</v>
      </c>
      <c r="CT4" s="202" t="str">
        <f>VLOOKUP([1]Start!$H$22,[1]Header_Data!$A3:$GZ32,99,FALSE)</f>
        <v>in Millimeter (mm)</v>
      </c>
      <c r="CU4" s="203"/>
      <c r="CV4" s="204"/>
      <c r="CW4" s="201" t="str">
        <f>VLOOKUP([1]Start!$H$22,[1]Header_Data!$A3:$GZ32,102,FALSE)</f>
        <v>in Liter (L)</v>
      </c>
      <c r="CX4" s="201" t="str">
        <f>VLOOKUP([1]Start!$H$22,[1]Header_Data!$A3:$GZ32,103,FALSE)</f>
        <v>in °C</v>
      </c>
      <c r="CY4" s="201" t="str">
        <f>VLOOKUP([1]Start!$H$22,[1]Header_Data!$A3:$GZ32,104,FALSE)</f>
        <v>in Watt (W)</v>
      </c>
      <c r="CZ4" s="201" t="str">
        <f>VLOOKUP([1]Start!$H$22,[1]Header_Data!$A3:$GZ32,105,FALSE)</f>
        <v>(J/N)</v>
      </c>
      <c r="DA4" s="201" t="str">
        <f>VLOOKUP([1]Start!$H$22,[1]Header_Data!$A3:$GZ32,106,FALSE)</f>
        <v>(J/N)</v>
      </c>
      <c r="DB4" s="201" t="str">
        <f>VLOOKUP([1]Start!$H$22,[1]Header_Data!$A3:$GZ32,107,FALSE)</f>
        <v>numerisch</v>
      </c>
      <c r="DC4" s="201" t="str">
        <f>VLOOKUP([1]Start!$H$22,[1]Header_Data!$A3:$GZ32,108,FALSE)</f>
        <v>(J/N)</v>
      </c>
      <c r="DD4" s="201" t="str">
        <f>VLOOKUP([1]Start!$H$22,[1]Header_Data!$A3:$GZ32,109,FALSE)</f>
        <v>(J/N)</v>
      </c>
      <c r="DE4" s="201" t="str">
        <f>VLOOKUP([1]Start!$H$22,[1]Header_Data!$A3:$GZ32,110,FALSE)</f>
        <v>(J/N)</v>
      </c>
      <c r="DF4" s="201" t="str">
        <f>VLOOKUP([1]Start!$H$22,[1]Header_Data!$A3:$GZ32,111,FALSE)</f>
        <v>(J/N)</v>
      </c>
      <c r="DG4" s="201" t="str">
        <f>VLOOKUP([1]Start!$H$22,[1]Header_Data!$A3:$GZ32,112,FALSE)</f>
        <v>(J/N)</v>
      </c>
      <c r="DH4" s="201" t="str">
        <f>VLOOKUP([1]Start!$H$22,[1]Header_Data!$A3:$GZ32,113,FALSE)</f>
        <v>Textfeld
(LiIon, LiMetall, Blei, NiCa, etc.)</v>
      </c>
      <c r="DI4" s="201" t="str">
        <f>VLOOKUP([1]Start!$H$22,[1]Header_Data!$A3:$GZ32,114,FALSE)</f>
        <v>numerisch</v>
      </c>
      <c r="DJ4" s="201">
        <f>VLOOKUP([1]Start!$H$22,[1]Header_Data!$A3:$GZ32,115,FALSE)</f>
        <v>4</v>
      </c>
      <c r="DK4" s="201" t="str">
        <f>VLOOKUP([1]Start!$H$22,[1]Header_Data!$A3:$GZ32,116,FALSE)</f>
        <v>(J/N)</v>
      </c>
      <c r="DL4" s="201" t="str">
        <f>VLOOKUP([1]Start!$H$22,[1]Header_Data!$A3:$GZ32,117,FALSE)</f>
        <v>in Monaten</v>
      </c>
      <c r="DM4" s="201" t="str">
        <f>VLOOKUP([1]Start!$H$22,[1]Header_Data!$A3:$GZ32,118,FALSE)</f>
        <v>in Monaten</v>
      </c>
      <c r="DN4" s="201" t="str">
        <f>VLOOKUP([1]Start!$H$22,[1]Header_Data!$A3:$GZ32,119,FALSE)</f>
        <v>in Monaten</v>
      </c>
      <c r="DO4" s="201" t="str">
        <f>VLOOKUP([1]Start!$H$22,[1]Header_Data!$A3:$GZ32,120,FALSE)</f>
        <v>in Monaten</v>
      </c>
      <c r="DP4" s="201" t="str">
        <f>VLOOKUP(Start!$H$22,Header_Data!$A3:$GZ32,121,FALSE)</f>
        <v>(J/N)</v>
      </c>
      <c r="DQ4" s="202" t="str">
        <f>VLOOKUP(Start!$H$22,Header_Data!$A3:$GZ32,122,FALSE)</f>
        <v>in Gramm (g)</v>
      </c>
      <c r="DR4" s="203"/>
      <c r="DS4" s="203"/>
      <c r="DT4" s="203"/>
      <c r="DU4" s="203"/>
      <c r="DV4" s="204"/>
      <c r="DW4" s="201" t="str">
        <f>VLOOKUP(Start!$H$22,Header_Data!$A3:$GZ32,128,FALSE)</f>
        <v>(J/N)</v>
      </c>
      <c r="DX4" s="202" t="str">
        <f>VLOOKUP(Start!$H$22,Header_Data!$A3:$GZ32,129,FALSE)</f>
        <v>in Gramm (g)</v>
      </c>
      <c r="DY4" s="203"/>
      <c r="DZ4" s="203"/>
      <c r="EA4" s="203"/>
      <c r="EB4" s="203"/>
      <c r="EC4" s="204"/>
      <c r="ED4" s="201" t="str">
        <f>VLOOKUP(Start!$H$22,Header_Data!$A3:$GZ32,135,FALSE)</f>
        <v>(J/N)</v>
      </c>
      <c r="EE4" s="202" t="str">
        <f>VLOOKUP(Start!$H$22,Header_Data!$A3:$GZ32,136,FALSE)</f>
        <v>in Gramm (g)</v>
      </c>
      <c r="EF4" s="203"/>
      <c r="EG4" s="203"/>
      <c r="EH4" s="203"/>
      <c r="EI4" s="203"/>
      <c r="EJ4" s="204"/>
      <c r="EK4" s="201" t="str">
        <f>VLOOKUP(Start!$H$22,Header_Data!$A3:$GZ32,142,FALSE)</f>
        <v>(J/N)</v>
      </c>
      <c r="EL4" s="201" t="str">
        <f>VLOOKUP(Start!$H$22,Header_Data!$A3:$GZ32,143,FALSE)</f>
        <v>in Stück</v>
      </c>
      <c r="EM4" s="201" t="str">
        <f>VLOOKUP(Start!$H$22,Header_Data!$A3:$GZ32,144,FALSE)</f>
        <v>numerisch</v>
      </c>
      <c r="EN4" s="202" t="str">
        <f>VLOOKUP([1]Start!$H$22,[1]Header_Data!$A3:$GZ32,145,FALSE)</f>
        <v>numerisch in Millimeter (mm)</v>
      </c>
      <c r="EO4" s="203"/>
      <c r="EP4" s="204"/>
      <c r="EQ4" s="202" t="str">
        <f>VLOOKUP([1]Start!$H$22,[1]Header_Data!$A3:$GZ32,148,FALSE)</f>
        <v>numerisch in Gramm (g)</v>
      </c>
      <c r="ER4" s="204"/>
      <c r="ES4" s="201" t="str">
        <f>VLOOKUP([1]Start!$H$22,[1]Header_Data!$A3:$GZ32,150,FALSE)</f>
        <v>(J/N)</v>
      </c>
      <c r="ET4" s="201" t="str">
        <f>VLOOKUP([1]Start!$H$22,[1]Header_Data!$A3:$GZ32,151,FALSE)</f>
        <v>(J/N)</v>
      </c>
      <c r="EU4" s="201" t="str">
        <f>VLOOKUP([1]Start!$H$22,[1]Header_Data!$A3:$GZ32,152,FALSE)</f>
        <v>numerisch</v>
      </c>
      <c r="EV4" s="202" t="str">
        <f>VLOOKUP([1]Start!$H$22,[1]Header_Data!$A3:$GZ32,153,FALSE)</f>
        <v>in Millimeter (mm)</v>
      </c>
      <c r="EW4" s="203"/>
      <c r="EX4" s="204"/>
      <c r="EY4" s="202" t="str">
        <f>VLOOKUP([1]Start!$H$22,[1]Header_Data!$A3:$GZ32,156,FALSE)</f>
        <v>in Gramm (g)</v>
      </c>
      <c r="EZ4" s="204"/>
      <c r="FA4" s="201" t="str">
        <f>VLOOKUP([1]Start!$H$22,[1]Header_Data!$A3:$GZ32,158,FALSE)</f>
        <v>(J/N)</v>
      </c>
      <c r="FB4" s="201" t="str">
        <f>VLOOKUP(Start!$H$22,Header_Data!$A3:$GZ32,162,FALSE)</f>
        <v>numerisch, 8-11-stellig</v>
      </c>
      <c r="FC4" s="201" t="str">
        <f>VLOOKUP(Start!$H$22,Header_Data!$A3:$GZ32,164,FALSE)</f>
        <v>zweistellig, gemäß ISO 3166, Alpha 2</v>
      </c>
      <c r="FD4" s="201" t="str">
        <f>VLOOKUP(Start!$H$22,Header_Data!$A3:$GZ32,165,FALSE)</f>
        <v>Textfeld</v>
      </c>
      <c r="FE4" s="201" t="str">
        <f>VLOOKUP([1]Start!$H$22,[1]Header_Data!$A3:$GZ32,166,FALSE)</f>
        <v>(J/N)</v>
      </c>
      <c r="FF4" s="201" t="str">
        <f>VLOOKUP(Start!$H$22,Header_Data!$A3:$GZ32,167,FALSE)</f>
        <v>in EUR</v>
      </c>
      <c r="FG4" s="201" t="str">
        <f>VLOOKUP(Start!$H$22,Header_Data!$A3:$GZ32,168,FALSE)</f>
        <v>Textfeld</v>
      </c>
      <c r="FH4" s="201" t="str">
        <f>VLOOKUP(Start!$H$22,Header_Data!$A3:$GZ32,169,FALSE)</f>
        <v>in Prozent (%)</v>
      </c>
      <c r="FI4" s="201" t="str">
        <f>VLOOKUP([1]Start!$H$22,[1]Header_Data!$A3:$GZ32,170,FALSE)</f>
        <v>Text und/oder Anhang / N
(z.B. latexhaltig)</v>
      </c>
      <c r="FJ4" s="236" t="str">
        <f>VLOOKUP([1]Start!$H$22,[1]Header_Data!$A3:$GZ32,171,FALSE)</f>
        <v>Originalname der SD Datei des Herstellers</v>
      </c>
      <c r="FK4" s="237"/>
      <c r="FL4" s="237"/>
      <c r="FM4" s="237"/>
      <c r="FN4" s="238"/>
      <c r="FO4" s="201" t="str">
        <f>VLOOKUP([1]Start!$H$22,[1]Header_Data!$A3:$GZ32,176,FALSE)</f>
        <v>(J/N)</v>
      </c>
      <c r="FP4" s="201" t="str">
        <f>VLOOKUP([1]Start!$H$22,[1]Header_Data!$A3:$GZ32,177,FALSE)</f>
        <v>Händler bitte durch / voneinander trennen. (Bsp. DU/HSC/PD/NWD/M&amp;W)</v>
      </c>
      <c r="FQ4" s="201" t="str">
        <f>VLOOKUP([1]Start!$H$22,[1]Header_Data!$A3:$GZ32,178,FALSE)</f>
        <v>(J/N)</v>
      </c>
      <c r="FR4" s="201" t="str">
        <f>VLOOKUP([1]Start!$H$22,[1]Header_Data!$A3:$GZ32,179,FALSE)</f>
        <v>(I, II, III)</v>
      </c>
      <c r="FS4" s="201" t="str">
        <f>VLOOKUP([1]Start!$H$22,[1]Header_Data!$A3:$GZ32,180,FALSE)</f>
        <v>(J/N)</v>
      </c>
      <c r="FT4" s="201" t="s">
        <v>663</v>
      </c>
      <c r="FU4" s="201" t="str">
        <f>VLOOKUP([1]Start!$H$22,[1]Header_Data!$A3:$GZ32,181,FALSE)</f>
        <v>MDR oder MDD</v>
      </c>
      <c r="FV4" s="201" t="str">
        <f>VLOOKUP([1]Start!$H$22,[1]Header_Data!$A3:$GZ32,182,FALSE)</f>
        <v>Alphanumerisch</v>
      </c>
      <c r="FW4" s="201" t="str">
        <f>VLOOKUP([1]Start!$H$22,[1]Header_Data!$A3:$GZ32,183,FALSE)</f>
        <v>Alphanumerisch</v>
      </c>
      <c r="FX4" s="201" t="str">
        <f>VLOOKUP([1]Start!$H$22,[1]Header_Data!$A3:$GZ32,184,FALSE)</f>
        <v>tt.mm.jjjj</v>
      </c>
      <c r="FY4" s="201" t="s">
        <v>40</v>
      </c>
    </row>
    <row r="5" spans="1:181" s="207" customFormat="1" ht="87" customHeight="1" outlineLevel="1" x14ac:dyDescent="0.3">
      <c r="A5" s="206" t="str">
        <f>VLOOKUP(Start!H23,Header_Data!$A3:$GZ32,2,FALSE)</f>
        <v>Nur für csv-Konvertierung erforderlich</v>
      </c>
      <c r="B5" s="206" t="str">
        <f>VLOOKUP(Start!$H$23,Header_Data!$A3:$GZ32,3,FALSE)</f>
        <v>Pflichtfeld</v>
      </c>
      <c r="C5" s="206" t="str">
        <f>VLOOKUP(Start!$H$23,Header_Data!$A3:$GZ32,4,FALSE)</f>
        <v>Pflichtfeld</v>
      </c>
      <c r="D5" s="206" t="str">
        <f>VLOOKUP(Start!$H$23,Header_Data!$A3:$GZ32,5,FALSE)</f>
        <v>Pflichtfeld</v>
      </c>
      <c r="E5" s="206" t="str">
        <f>VLOOKUP(Start!$H$23,Header_Data!$A3:$GZ32,6,FALSE)</f>
        <v>Pflichtfeld</v>
      </c>
      <c r="F5" s="206" t="str">
        <f>VLOOKUP(Start!$H$23,Header_Data!$A3:$GZ32,7,FALSE)</f>
        <v>Pflichtfeld 
Wenn "N" oder "A", bitte auch die folgenden Felder ausfüllen (graue Spaltenüberschriften).</v>
      </c>
      <c r="G5" s="206" t="str">
        <f>VLOOKUP(Start!$H$23,Header_Data!$A3:$GZ32,8,FALSE)</f>
        <v>abhängiges Feld</v>
      </c>
      <c r="H5" s="206" t="str">
        <f>VLOOKUP(Start!$H$23,Header_Data!$A3:$GZ32,9,FALSE)</f>
        <v>abhängiges Feld</v>
      </c>
      <c r="I5" s="206" t="str">
        <f>VLOOKUP(Start!$H$23,Header_Data!$A3:$GZ32,10,FALSE)</f>
        <v>abhängiges Feld</v>
      </c>
      <c r="J5" s="206" t="str">
        <f>VLOOKUP(Start!$H$23,Header_Data!$A3:$GZ32,11,FALSE)</f>
        <v>abhängiges Feld</v>
      </c>
      <c r="K5" s="206" t="str">
        <f>VLOOKUP(Start!$H$23,Header_Data!$A3:$GZ32,12,FALSE)</f>
        <v>Pflichtfeld 
Wenn "J", bitte auch die folgenden Felder ausfüllen (graue Spaltenüberschriften).</v>
      </c>
      <c r="L5" s="206" t="str">
        <f>VLOOKUP(Start!$H$23,Header_Data!$A3:$GZ32,13,FALSE)</f>
        <v>abhängiges Feld</v>
      </c>
      <c r="M5" s="206" t="str">
        <f>VLOOKUP(Start!$H$23,Header_Data!$A3:$GZ32,14,FALSE)</f>
        <v>abhängiges Feld</v>
      </c>
      <c r="N5" s="206" t="str">
        <f>VLOOKUP(Start!$H$23,Header_Data!$A3:$GZ32,15,FALSE)</f>
        <v>Pflichtfeld</v>
      </c>
      <c r="O5" s="206" t="str">
        <f>VLOOKUP(Start!$H$23,Header_Data!$A3:$GZ32,16,FALSE)</f>
        <v>Pflichtfeld</v>
      </c>
      <c r="P5" s="206" t="str">
        <f>VLOOKUP(Start!$H$23,Header_Data!$A3:$GZ32,17,FALSE)</f>
        <v>Pflichtfeld</v>
      </c>
      <c r="Q5" s="206" t="str">
        <f>VLOOKUP(Start!$H$23,Header_Data!$A3:$GZ32,18,FALSE)</f>
        <v>Pflichtfeld</v>
      </c>
      <c r="R5" s="206" t="str">
        <f>VLOOKUP(Start!$H$23,Header_Data!$A3:$GZ32,19,FALSE)</f>
        <v>Pflichtfeld</v>
      </c>
      <c r="S5" s="206" t="str">
        <f>VLOOKUP([1]Start!$H$23,[1]Header_Data!$A3:$GZ32,20,FALSE)</f>
        <v>Pflichtfeld</v>
      </c>
      <c r="T5" s="206" t="str">
        <f>VLOOKUP([1]Start!$H$23,[1]Header_Data!$A3:$GZ32,21,FALSE)</f>
        <v>Pflichtfeld</v>
      </c>
      <c r="U5" s="206" t="str">
        <f>VLOOKUP([1]Start!$H$23,[1]Header_Data!$A3:$GZ32,22,FALSE)</f>
        <v>Pflichtfeld
Bei "J", bitte rechts alle für diesen Artikel vorhandenen Barcodes angeben.</v>
      </c>
      <c r="V5" s="206" t="str">
        <f>VLOOKUP([1]Start!$H$23,[1]Header_Data!$A3:$GZ32,23,FALSE)</f>
        <v>abhängiges Feld</v>
      </c>
      <c r="W5" s="206" t="str">
        <f>VLOOKUP([1]Start!$H$23,[1]Header_Data!$A3:$GZ32,24,FALSE)</f>
        <v>abhängiges Feld</v>
      </c>
      <c r="X5" s="206" t="str">
        <f>VLOOKUP([1]Start!$H$23,[1]Header_Data!$A3:$GZ32,25,FALSE)</f>
        <v>abhängiges Feld</v>
      </c>
      <c r="Y5" s="206" t="str">
        <f>VLOOKUP([1]Start!$H$23,[1]Header_Data!$A3:$GZ32,26,FALSE)</f>
        <v>abhängiges Feld</v>
      </c>
      <c r="Z5" s="206" t="str">
        <f>VLOOKUP([1]Start!$H$23,[1]Header_Data!$A3:$GZ32,27,FALSE)</f>
        <v>abhängiges Feld</v>
      </c>
      <c r="AA5" s="206" t="str">
        <f>VLOOKUP([1]Start!$H$23,[1]Header_Data!$A3:$GZ32,28,FALSE)</f>
        <v>abhängiges Feld</v>
      </c>
      <c r="AB5" s="206" t="str">
        <f>VLOOKUP([1]Start!$H$23,[1]Header_Data!$A3:$GZ32,29,FALSE)</f>
        <v>abhängiges Feld</v>
      </c>
      <c r="AC5" s="206" t="str">
        <f>VLOOKUP([1]Start!$H$23,[1]Header_Data!$A3:$GZ32,30,FALSE)</f>
        <v>abhängiges Feld</v>
      </c>
      <c r="AD5" s="206" t="str">
        <f>VLOOKUP([1]Start!$H$23,[1]Header_Data!$A3:$GZ32,31,FALSE)</f>
        <v>abhängiges Feld</v>
      </c>
      <c r="AE5" s="206" t="str">
        <f>VLOOKUP([1]Start!$H$23,[1]Header_Data!$A3:$GZ32,32,FALSE)</f>
        <v>abhängiges Feld</v>
      </c>
      <c r="AF5" s="206" t="str">
        <f>VLOOKUP([1]Start!$H$23,[1]Header_Data!$A3:$GZ32,33,FALSE)</f>
        <v>Pflichtfeld 
Wenn "J", bitte Code eingeben und das folgende (graue) Feld ausfüllen</v>
      </c>
      <c r="AG5" s="206" t="str">
        <f>VLOOKUP([1]Start!$H$23,[1]Header_Data!$A3:$GZ32,34,FALSE)</f>
        <v>abhängiges Feld</v>
      </c>
      <c r="AH5" s="206" t="str">
        <f>VLOOKUP([1]Start!$H$23,[1]Header_Data!$A3:$GZ32,35,FALSE)</f>
        <v xml:space="preserve">Pflichtfeld 
</v>
      </c>
      <c r="AI5" s="206" t="str">
        <f>VLOOKUP([1]Start!$H$23,[1]Header_Data!$A3:$GZ32,36,FALSE)</f>
        <v>Pflichtfeld</v>
      </c>
      <c r="AJ5" s="206" t="str">
        <f>VLOOKUP([1]Start!$H$23,[1]Header_Data!$A3:$GZ32,37,FALSE)</f>
        <v>Pflichtfeld</v>
      </c>
      <c r="AK5" s="206" t="str">
        <f>VLOOKUP([1]Start!$H$23,[1]Header_Data!$A3:$GZ32,38,FALSE)</f>
        <v>Pflichtfeld 
Wenn "N", bitte auch das folgende Feld ausfüllen (graue Spaltenüberschrift).</v>
      </c>
      <c r="AL5" s="206" t="str">
        <f>VLOOKUP([1]Start!$H$23,[1]Header_Data!$A3:$GZ32,39,FALSE)</f>
        <v>abhängiges Feld</v>
      </c>
      <c r="AM5" s="206" t="str">
        <f>VLOOKUP([1]Start!$H$23,[1]Header_Data!$A3:$GZ32,40,FALSE)</f>
        <v>Pflichtfeld 
Wenn "J", bitte auch das folgende Feld ausfüllen (graue Spaltenüberschrift).</v>
      </c>
      <c r="AN5" s="206" t="str">
        <f>VLOOKUP([1]Start!$H$23,[1]Header_Data!$A3:$GZ32,41,FALSE)</f>
        <v>abhängiges Feld</v>
      </c>
      <c r="AO5" s="206" t="str">
        <f>VLOOKUP([1]Start!$H$23,[1]Header_Data!$A3:$GZ32,42,FALSE)</f>
        <v>Pflichtfeld 
Wenn "J", bitte auch die folgenden Felder ausfüllen (graue Spaltenüberschriften).</v>
      </c>
      <c r="AP5" s="206" t="str">
        <f>VLOOKUP([1]Start!$H$23,[1]Header_Data!$A3:$GZ32,43,FALSE)</f>
        <v>abhängiges Feld</v>
      </c>
      <c r="AQ5" s="206" t="str">
        <f>VLOOKUP([1]Start!$H$23,[1]Header_Data!$A3:$GZ32,44,FALSE)</f>
        <v>abhängiges Feld</v>
      </c>
      <c r="AR5" s="206" t="str">
        <f>VLOOKUP([1]Start!$H$23,[1]Header_Data!$A3:$GZ32,45,FALSE)</f>
        <v>abhängiges Feld</v>
      </c>
      <c r="AS5" s="206" t="str">
        <f>VLOOKUP([1]Start!$H$23,[1]Header_Data!$A3:$GZ32,46,FALSE)</f>
        <v>abhängiges Feld</v>
      </c>
      <c r="AT5" s="206" t="str">
        <f>VLOOKUP([1]Start!$H$23,[1]Header_Data!$A3:$GZ32,47,FALSE)</f>
        <v>abhängiges Feld</v>
      </c>
      <c r="AU5" s="206" t="str">
        <f>VLOOKUP([1]Start!$H$23,[1]Header_Data!$A3:$GZ32,48,FALSE)</f>
        <v>abhängiges Feld</v>
      </c>
      <c r="AV5" s="206" t="str">
        <f>VLOOKUP([1]Start!$H$23,[1]Header_Data!$A3:$GZ32,49,FALSE)</f>
        <v>Pflichtfeld 
Wenn "J", bitte auch die folgenden Felder ausfüllen (graue Spaltenüberschriften).</v>
      </c>
      <c r="AW5" s="206" t="str">
        <f>VLOOKUP([1]Start!$H$23,[1]Header_Data!$A3:$GZ32,50,FALSE)</f>
        <v>abhängiges Feld</v>
      </c>
      <c r="AX5" s="206" t="str">
        <f>VLOOKUP([1]Start!$H$23,[1]Header_Data!$A3:$GZ32,51,FALSE)</f>
        <v>abhängiges Feld</v>
      </c>
      <c r="AY5" s="206" t="str">
        <f>VLOOKUP([1]Start!$H$23,[1]Header_Data!$A3:$GZ32,52,FALSE)</f>
        <v>abhängiges Feld</v>
      </c>
      <c r="AZ5" s="206" t="str">
        <f>VLOOKUP([1]Start!$H$23,[1]Header_Data!$A3:$GZ32,53,FALSE)</f>
        <v>abhängiges Feld</v>
      </c>
      <c r="BA5" s="206" t="str">
        <f>VLOOKUP([1]Start!$H$23,[1]Header_Data!$A3:$GZ32,54,FALSE)</f>
        <v>abhängiges Feld</v>
      </c>
      <c r="BB5" s="206" t="str">
        <f>VLOOKUP([1]Start!$H$23,[1]Header_Data!$A3:$GZ32,55,FALSE)</f>
        <v>abhängiges Feld</v>
      </c>
      <c r="BC5" s="206" t="str">
        <f>VLOOKUP([1]Start!$H$23,[1]Header_Data!$A3:$GZ32,56,FALSE)</f>
        <v>abhängiges Feld</v>
      </c>
      <c r="BD5" s="206" t="str">
        <f>VLOOKUP([1]Start!$H$23,[1]Header_Data!$A3:$GZ32,57,FALSE)</f>
        <v>abhängiges Feld</v>
      </c>
      <c r="BE5" s="206" t="str">
        <f>VLOOKUP([1]Start!$H$23,[1]Header_Data!$A3:$GZ32,58,FALSE)</f>
        <v>abhängiges Feld</v>
      </c>
      <c r="BF5" s="206" t="str">
        <f>VLOOKUP([1]Start!$H$23,[1]Header_Data!$A3:$GZ32,59,FALSE)</f>
        <v>abhängiges Feld</v>
      </c>
      <c r="BG5" s="206" t="str">
        <f>VLOOKUP([1]Start!$H$23,[1]Header_Data!$A3:$GZ32,60,FALSE)</f>
        <v>abhängiges Feld</v>
      </c>
      <c r="BH5" s="206" t="str">
        <f>VLOOKUP([1]Start!$H$23,[1]Header_Data!$A3:$GZ32,61,FALSE)</f>
        <v>Pflichtfeld 
Wenn "J", bitte auch die folgenden Felder ausfüllen (graue Spaltenüberschriften) sowie Spalte 181 ff.</v>
      </c>
      <c r="BI5" s="206" t="str">
        <f>VLOOKUP([1]Start!$H$23,[1]Header_Data!$A3:$GZ32,62,FALSE)</f>
        <v>abhängiges Feld</v>
      </c>
      <c r="BJ5" s="206" t="str">
        <f>VLOOKUP([1]Start!$H$23,[1]Header_Data!$A3:$GZ32,63,FALSE)</f>
        <v>abhängiges Feld</v>
      </c>
      <c r="BK5" s="206" t="str">
        <f>VLOOKUP([1]Start!$H$23,[1]Header_Data!$A3:$GZ32,64,FALSE)</f>
        <v>abhängiges Feld</v>
      </c>
      <c r="BL5" s="206" t="str">
        <f>VLOOKUP(Start!$H$23,Header_Data!$A3:$GZ32,65,FALSE)</f>
        <v>Pflichtfeld 
Wenn "J", bitte auch das folgende Feld ausfüllen (graue Spaltenüberschrift).</v>
      </c>
      <c r="BM5" s="206" t="str">
        <f>VLOOKUP(Start!$H$23,Header_Data!$A3:$GZ32,66,FALSE)</f>
        <v>abhängiges Feld</v>
      </c>
      <c r="BN5" s="206" t="str">
        <f>VLOOKUP([1]Start!$H$23,[1]Header_Data!$A3:$GZ32,67,FALSE)</f>
        <v>Pflichtfeld 
Wenn "J", bitte auch das folgende Feld ausfüllen (graue Spaltenüberschrift).</v>
      </c>
      <c r="BO5" s="206" t="str">
        <f>VLOOKUP([1]Start!$H$23,[1]Header_Data!$A3:$GZ32,68,FALSE)</f>
        <v>abhängiges Feld</v>
      </c>
      <c r="BP5" s="206" t="str">
        <f>VLOOKUP([1]Start!$H$23,[1]Header_Data!$A3:$GZ32,69,FALSE)</f>
        <v>Pflichtfeld</v>
      </c>
      <c r="BQ5" s="206" t="str">
        <f>VLOOKUP([1]Start!$H$23,[1]Header_Data!$A3:$GZ32,70,FALSE)</f>
        <v>Pflichtfeld</v>
      </c>
      <c r="BR5" s="206" t="str">
        <f>VLOOKUP([1]Start!$H$23,[1]Header_Data!$A3:$GZ32,71,FALSE)</f>
        <v>Pflichtfeld</v>
      </c>
      <c r="BS5" s="206" t="str">
        <f>VLOOKUP([1]Start!$H$23,[1]Header_Data!$A3:$GZ32,72,FALSE)</f>
        <v>Pflichtfeld 
Wenn "J", bitte auch die folgenden Felder ausfüllen (graue Spaltenüberschriften).</v>
      </c>
      <c r="BT5" s="206" t="str">
        <f>VLOOKUP([1]Start!$H$23,[1]Header_Data!$A3:$GZ32,73,FALSE)</f>
        <v>abhängiges Feld</v>
      </c>
      <c r="BU5" s="206" t="str">
        <f>VLOOKUP([1]Start!$H$23,[1]Header_Data!$A3:$GZ32,74,FALSE)</f>
        <v>abhängiges Feld</v>
      </c>
      <c r="BV5" s="206" t="str">
        <f>VLOOKUP([1]Start!$H$23,[1]Header_Data!$A3:$GZ32,75,FALSE)</f>
        <v>Pflichtfeld 
Wenn "J", bitte auch die folgenden Felder ausfüllen (graue Spaltenüberschriften).</v>
      </c>
      <c r="BW5" s="206" t="str">
        <f>VLOOKUP([1]Start!$H$23,[1]Header_Data!$A3:$GZ32,76,FALSE)</f>
        <v>abhängiges Feld</v>
      </c>
      <c r="BX5" s="206" t="str">
        <f>VLOOKUP([1]Start!$H$23,[1]Header_Data!$A3:$GZ32,77,FALSE)</f>
        <v>abhängiges Feld</v>
      </c>
      <c r="BY5" s="206" t="str">
        <f>VLOOKUP([1]Start!$H$23,[1]Header_Data!$A3:$GZ32,78,FALSE)</f>
        <v>abhängiges Feld</v>
      </c>
      <c r="BZ5" s="206" t="str">
        <f>VLOOKUP([1]Start!$H$23,[1]Header_Data!$A3:$GZ32,79,FALSE)</f>
        <v>abhängiges Feld</v>
      </c>
      <c r="CA5" s="206" t="str">
        <f>VLOOKUP([1]Start!$H$23,[1]Header_Data!$A3:$GZ32,80,FALSE)</f>
        <v>abhängiges Feld</v>
      </c>
      <c r="CB5" s="206" t="str">
        <f>VLOOKUP([1]Start!$H$23,[1]Header_Data!$A3:$GZ32,81,FALSE)</f>
        <v>abhängiges Feld</v>
      </c>
      <c r="CC5" s="206" t="str">
        <f>VLOOKUP([1]Start!$H$23,[1]Header_Data!$A3:$GZ32,82,FALSE)</f>
        <v>abhängiges Feld</v>
      </c>
      <c r="CD5" s="206" t="str">
        <f>VLOOKUP([1]Start!$H$23,[1]Header_Data!$A3:$GZ32,83,FALSE)</f>
        <v>abhängiges Feld</v>
      </c>
      <c r="CE5" s="206" t="str">
        <f>VLOOKUP([1]Start!$H$23,[1]Header_Data!$A3:$GZ32,84,FALSE)</f>
        <v>abhängiges Feld</v>
      </c>
      <c r="CF5" s="206" t="str">
        <f>VLOOKUP([1]Start!$H$23,[1]Header_Data!$A3:$GZ32,85,FALSE)</f>
        <v>abhängiges Feld</v>
      </c>
      <c r="CG5" s="206" t="str">
        <f>VLOOKUP([1]Start!$H$23,[1]Header_Data!$A3:$GZ32,86,FALSE)</f>
        <v>abhängiges Feld</v>
      </c>
      <c r="CH5" s="206" t="str">
        <f>VLOOKUP([1]Start!$H$23,[1]Header_Data!$A3:$GZ32,87,FALSE)</f>
        <v>abhängiges Feld</v>
      </c>
      <c r="CI5" s="206" t="str">
        <f>VLOOKUP([1]Start!$H$23,[1]Header_Data!$A3:$GZ32,88,FALSE)</f>
        <v>abhängiges Feld</v>
      </c>
      <c r="CJ5" s="206" t="str">
        <f>VLOOKUP([1]Start!$H$23,[1]Header_Data!$A3:$GZ32,89,FALSE)</f>
        <v>abhängiges Feld</v>
      </c>
      <c r="CK5" s="206" t="str">
        <f>VLOOKUP([1]Start!$H$23,[1]Header_Data!$A3:$GZ32,90,FALSE)</f>
        <v>abhängiges Feld</v>
      </c>
      <c r="CL5" s="206" t="str">
        <f>VLOOKUP([1]Start!$H$23,[1]Header_Data!$A3:$GZ32,91,FALSE)</f>
        <v>abhängiges Feld</v>
      </c>
      <c r="CM5" s="206" t="str">
        <f>VLOOKUP([1]Start!$H$23,[1]Header_Data!$A3:$GZ32,92,FALSE)</f>
        <v>abhängiges Feld</v>
      </c>
      <c r="CN5" s="206" t="str">
        <f>VLOOKUP(Start!$H$23,Header_Data!$A3:$GZ32,93,FALSE)</f>
        <v>Pflichtfeld</v>
      </c>
      <c r="CO5" s="206" t="str">
        <f>VLOOKUP([1]Start!$H$23,[1]Header_Data!$A3:$GZ32,94,FALSE)</f>
        <v>Pflichtfeld 
Wenn "J", bitte auch die folgenden Felder ausfüllen (graue Spaltenüberschriften).</v>
      </c>
      <c r="CP5" s="206" t="str">
        <f>VLOOKUP([1]Start!$H$23,[1]Header_Data!$A3:$GZ32,95,FALSE)</f>
        <v>abhängiges Feld</v>
      </c>
      <c r="CQ5" s="206" t="str">
        <f>VLOOKUP([1]Start!$H$23,[1]Header_Data!$A3:$GZ32,96,FALSE)</f>
        <v>abhängiges Feld</v>
      </c>
      <c r="CR5" s="206" t="str">
        <f>VLOOKUP([1]Start!$H$23,[1]Header_Data!$A3:$GZ32,97,FALSE)</f>
        <v>abhängiges Feld</v>
      </c>
      <c r="CS5" s="206" t="str">
        <f>VLOOKUP([1]Start!$H$23,[1]Header_Data!$A3:$GZ32,98,FALSE)</f>
        <v>Pflichtfeld 
Wenn "J", bitte auch die folgenden Felder ausfüllen (graue Spaltenüberschriften).</v>
      </c>
      <c r="CT5" s="206" t="str">
        <f>VLOOKUP([1]Start!$H$23,[1]Header_Data!$A3:$GZ32,99,FALSE)</f>
        <v>abhängiges Feld</v>
      </c>
      <c r="CU5" s="206" t="str">
        <f>VLOOKUP([1]Start!$H$23,[1]Header_Data!$A3:$GZ32,100,FALSE)</f>
        <v>abhängiges Feld</v>
      </c>
      <c r="CV5" s="206" t="str">
        <f>VLOOKUP([1]Start!$H$23,[1]Header_Data!$A3:$GZ32,102,FALSE)</f>
        <v>abhängiges Feld</v>
      </c>
      <c r="CW5" s="206" t="str">
        <f>VLOOKUP([1]Start!$H$23,[1]Header_Data!$A3:$GZ32,102,FALSE)</f>
        <v>abhängiges Feld</v>
      </c>
      <c r="CX5" s="206" t="str">
        <f>VLOOKUP([1]Start!$H$23,[1]Header_Data!$A3:$GZ32,103,FALSE)</f>
        <v>abhängiges Feld</v>
      </c>
      <c r="CY5" s="206" t="str">
        <f>VLOOKUP([1]Start!$H$23,[1]Header_Data!$A3:$GZ32,104,FALSE)</f>
        <v>abhängiges Feld</v>
      </c>
      <c r="CZ5" s="206" t="str">
        <f>VLOOKUP([1]Start!$H$23,[1]Header_Data!$A3:$GZ32,105,FALSE)</f>
        <v>abhängiges Feld</v>
      </c>
      <c r="DA5" s="206" t="str">
        <f>VLOOKUP([1]Start!$H$23,[1]Header_Data!$A3:$GZ32,106,FALSE)</f>
        <v>Pflichtfeld 
Wenn "J", bitte auch das folgende Feld ausfüllen (graue Spaltenüberschrift).</v>
      </c>
      <c r="DB5" s="206" t="str">
        <f>VLOOKUP([1]Start!$H$23,[1]Header_Data!$A3:$GZ32,107,FALSE)</f>
        <v>abhängiges Feld</v>
      </c>
      <c r="DC5" s="206" t="str">
        <f>VLOOKUP([1]Start!$H$23,[1]Header_Data!$A3:$GZ32,108,FALSE)</f>
        <v>Pflichtfeld 
Wenn "J", bitte auch die folgenden Felder ausfüllen (graue Spaltenüberschriften).</v>
      </c>
      <c r="DD5" s="206" t="str">
        <f>VLOOKUP([1]Start!$H$23,[1]Header_Data!$A3:$GZ32,110,FALSE)</f>
        <v>abhängiges Feld</v>
      </c>
      <c r="DE5" s="206" t="str">
        <f>VLOOKUP([1]Start!$H$23,[1]Header_Data!$A3:$GZ32,110,FALSE)</f>
        <v>abhängiges Feld</v>
      </c>
      <c r="DF5" s="206" t="str">
        <f>VLOOKUP([1]Start!$H$23,[1]Header_Data!$A3:$GZ32,111,FALSE)</f>
        <v>Pflichtfeld 
Wenn "J", bitte auch die folgenden Felder ausfüllen (graue Spaltenüberschriften)</v>
      </c>
      <c r="DG5" s="206" t="str">
        <f>VLOOKUP([1]Start!$H$23,[1]Header_Data!$A3:$GZ32,112,FALSE)</f>
        <v>abhängiges Feld</v>
      </c>
      <c r="DH5" s="206" t="str">
        <f>VLOOKUP([1]Start!$H$23,[1]Header_Data!$A3:$GZ32,113,FALSE)</f>
        <v>abhängiges Feld</v>
      </c>
      <c r="DI5" s="206" t="str">
        <f>VLOOKUP([1]Start!$H$23,[1]Header_Data!$A3:$GZ32,114,FALSE)</f>
        <v>abhängiges Feld</v>
      </c>
      <c r="DJ5" s="206" t="str">
        <f>VLOOKUP([1]Start!$H$23,[1]Header_Data!$A3:$GZ32,115,FALSE)</f>
        <v>abhängiges Feld</v>
      </c>
      <c r="DK5" s="206" t="str">
        <f>VLOOKUP([1]Start!$H$23,[1]Header_Data!$A3:$GZ32,116,FALSE)</f>
        <v>Pflichtfeld 
Wenn "J", bitte auch die folgenden Felder ausfüllen (graue Spaltenüberschriften).</v>
      </c>
      <c r="DL5" s="206" t="str">
        <f>VLOOKUP([1]Start!$H$23,[1]Header_Data!$A3:$GZ32,117,FALSE)</f>
        <v>abhängiges Feld</v>
      </c>
      <c r="DM5" s="206" t="str">
        <f>VLOOKUP([1]Start!$H$23,[1]Header_Data!$A3:$GZ32,118,FALSE)</f>
        <v>abhängiges Feld</v>
      </c>
      <c r="DN5" s="206" t="str">
        <f>VLOOKUP([1]Start!$H$23,[1]Header_Data!$A3:$GZ32,119,FALSE)</f>
        <v>abhängiges Feld</v>
      </c>
      <c r="DO5" s="206" t="str">
        <f>VLOOKUP([1]Start!$H$23,[1]Header_Data!$A3:$GZ32,120,FALSE)</f>
        <v>abhängiges Feld</v>
      </c>
      <c r="DP5" s="206" t="str">
        <f>VLOOKUP(Start!$H$23,Header_Data!$A3:$GZ32,121,FALSE)</f>
        <v>Pflichtfeld - Bitte die Felder 34.1 -34.6. komplett ausfüllen, wenn Antwort "N" oder wenn der Artikel auch außerhalb DE zugelassen ist.</v>
      </c>
      <c r="DQ5" s="206" t="str">
        <f>VLOOKUP(Start!$H$23,Header_Data!$A3:$GZ32,122,FALSE)</f>
        <v>abhängiges Feld</v>
      </c>
      <c r="DR5" s="206" t="str">
        <f>VLOOKUP(Start!$H$23,Header_Data!$A3:$GZ32,123,FALSE)</f>
        <v>abhängiges Feld</v>
      </c>
      <c r="DS5" s="206" t="str">
        <f>VLOOKUP(Start!$H$23,Header_Data!$A3:$GZ32,124,FALSE)</f>
        <v>abhängiges Feld</v>
      </c>
      <c r="DT5" s="206" t="str">
        <f>VLOOKUP(Start!$H$23,Header_Data!$A3:$GZ32,125,FALSE)</f>
        <v>abhängiges Feld</v>
      </c>
      <c r="DU5" s="206" t="str">
        <f>VLOOKUP(Start!$H$23,Header_Data!$A3:$GZ32,126,FALSE)</f>
        <v>abhängiges Feld</v>
      </c>
      <c r="DV5" s="206" t="str">
        <f>VLOOKUP(Start!$H$23,Header_Data!$A3:$GZ32,127,FALSE)</f>
        <v>abhängiges Feld</v>
      </c>
      <c r="DW5" s="206" t="str">
        <f>VLOOKUP(Start!$H$23,Header_Data!$A3:$GZ32,128,FALSE)</f>
        <v>abhängiges Feld</v>
      </c>
      <c r="DX5" s="206" t="str">
        <f>VLOOKUP(Start!$H$23,Header_Data!$A3:$GZ32,129,FALSE)</f>
        <v>abhängiges Feld</v>
      </c>
      <c r="DY5" s="206" t="str">
        <f>VLOOKUP(Start!$H$23,Header_Data!$A3:$GZ32,130,FALSE)</f>
        <v>abhängiges Feld</v>
      </c>
      <c r="DZ5" s="206" t="str">
        <f>VLOOKUP(Start!$H$23,Header_Data!$A3:$GZ32,131,FALSE)</f>
        <v>abhängiges Feld</v>
      </c>
      <c r="EA5" s="206" t="str">
        <f>VLOOKUP(Start!$H$23,Header_Data!$A3:$GZ32,132,FALSE)</f>
        <v>abhängiges Feld</v>
      </c>
      <c r="EB5" s="206" t="str">
        <f>VLOOKUP(Start!$H$23,Header_Data!$A3:$GZ32,133,FALSE)</f>
        <v>abhängiges Feld</v>
      </c>
      <c r="EC5" s="206" t="str">
        <f>VLOOKUP(Start!$H$23,Header_Data!$A3:$GZ32,134,FALSE)</f>
        <v>abhängiges Feld</v>
      </c>
      <c r="ED5" s="206" t="str">
        <f>VLOOKUP(Start!$H$23,Header_Data!$A3:$GZ32,135,FALSE)</f>
        <v>abhängiges Feld</v>
      </c>
      <c r="EE5" s="206" t="str">
        <f>VLOOKUP(Start!$H$23,Header_Data!$A3:$GZ32,136,FALSE)</f>
        <v>abhängiges Feld</v>
      </c>
      <c r="EF5" s="206" t="str">
        <f>VLOOKUP(Start!$H$23,Header_Data!$A3:$GZ32,137,FALSE)</f>
        <v>abhängiges Feld</v>
      </c>
      <c r="EG5" s="206" t="str">
        <f>VLOOKUP(Start!$H$23,Header_Data!$A3:$GZ32,138,FALSE)</f>
        <v>abhängiges Feld</v>
      </c>
      <c r="EH5" s="206" t="str">
        <f>VLOOKUP(Start!$H$23,Header_Data!$A3:$GZ32,139,FALSE)</f>
        <v>abhängiges Feld</v>
      </c>
      <c r="EI5" s="206" t="str">
        <f>VLOOKUP(Start!$H$23,Header_Data!$A3:$GZ32,140,FALSE)</f>
        <v>abhängiges Feld</v>
      </c>
      <c r="EJ5" s="206" t="str">
        <f>VLOOKUP(Start!$H$23,Header_Data!$A3:$GZ32,141,FALSE)</f>
        <v>abhängiges Feld</v>
      </c>
      <c r="EK5" s="206" t="str">
        <f>VLOOKUP(Start!$H$23,Header_Data!$A3:$GZ32,142,FALSE)</f>
        <v>abhängiges Feld</v>
      </c>
      <c r="EL5" s="206" t="str">
        <f>VLOOKUP(Start!$H$23,Header_Data!$A3:$GZ32,143,FALSE)</f>
        <v>Pflichtfeld</v>
      </c>
      <c r="EM5" s="206" t="str">
        <f>VLOOKUP(Start!$H$23,Header_Data!$A3:$GZ32,144,FALSE)</f>
        <v>Pflichtfeld</v>
      </c>
      <c r="EN5" s="206" t="str">
        <f>VLOOKUP([1]Start!$H$23,[1]Header_Data!$A3:$GZ32,145,FALSE)</f>
        <v>Pflichtfeld</v>
      </c>
      <c r="EO5" s="206" t="str">
        <f>VLOOKUP([1]Start!$H$23,[1]Header_Data!$A3:$GZ32,146,FALSE)</f>
        <v>Pflichtfeld</v>
      </c>
      <c r="EP5" s="206" t="str">
        <f>VLOOKUP([1]Start!$H$23,[1]Header_Data!$A3:$GZ32,147,FALSE)</f>
        <v>Pflichtfeld</v>
      </c>
      <c r="EQ5" s="206" t="str">
        <f>VLOOKUP([1]Start!$H$23,[1]Header_Data!$A3:$GZ32,148,FALSE)</f>
        <v>Pflichtfeld</v>
      </c>
      <c r="ER5" s="206" t="str">
        <f>VLOOKUP([1]Start!$H$23,[1]Header_Data!$A3:$GZ32,149,FALSE)</f>
        <v>Pflichtfeld</v>
      </c>
      <c r="ES5" s="206" t="str">
        <f>VLOOKUP([1]Start!$H$23,[1]Header_Data!$A3:$GZ32,150,FALSE)</f>
        <v>Pflichtfeld 
Wenn "J", bitte die folgenden Felder (graue Spaltenüberschriften) ausfüllen.</v>
      </c>
      <c r="ET5" s="206" t="str">
        <f>VLOOKUP([1]Start!$H$23,[1]Header_Data!$A3:$GZ32,151,FALSE)</f>
        <v>abhängiges Feld</v>
      </c>
      <c r="EU5" s="206" t="str">
        <f>VLOOKUP([1]Start!$H$23,[1]Header_Data!$A3:$GZ32,152,FALSE)</f>
        <v>abhängiges Feld</v>
      </c>
      <c r="EV5" s="206" t="str">
        <f>VLOOKUP([1]Start!$H$23,[1]Header_Data!$A3:$GZ32,153,FALSE)</f>
        <v>abhängiges Feld</v>
      </c>
      <c r="EW5" s="206" t="str">
        <f>VLOOKUP([1]Start!$H$23,[1]Header_Data!$A3:$GZ32,154,FALSE)</f>
        <v>abhängiges Feld</v>
      </c>
      <c r="EX5" s="206" t="str">
        <f>VLOOKUP([1]Start!$H$23,[1]Header_Data!$A3:$GZ32,155,FALSE)</f>
        <v>abhängiges Feld</v>
      </c>
      <c r="EY5" s="206" t="str">
        <f>VLOOKUP([1]Start!$H$23,[1]Header_Data!$A3:$GZ32,156,FALSE)</f>
        <v>abhängiges Feld</v>
      </c>
      <c r="EZ5" s="206" t="str">
        <f>VLOOKUP([1]Start!$H$23,[1]Header_Data!$A3:$GZ32,157,FALSE)</f>
        <v>abhängiges Feld</v>
      </c>
      <c r="FA5" s="206" t="str">
        <f>VLOOKUP([1]Start!$H$23,[1]Header_Data!$A3:$GZ32,158,FALSE)</f>
        <v>Pflichtfeld 
Wenn "J", bitte auch die folgenden Felder ausfüllen (graue Spaltenüberschriften).</v>
      </c>
      <c r="FB5" s="206" t="str">
        <f>VLOOKUP(Start!$H$23,Header_Data!$A3:$GZ32,162,FALSE)</f>
        <v>Pflichtfeld</v>
      </c>
      <c r="FC5" s="206" t="str">
        <f>VLOOKUP(Start!$H$23,Header_Data!$A3:$GZ32,164,FALSE)</f>
        <v>Pflichtfeld</v>
      </c>
      <c r="FD5" s="206" t="str">
        <f>VLOOKUP(Start!$H$23,Header_Data!$A3:$GZ32,165,FALSE)</f>
        <v>Pflichtfeld</v>
      </c>
      <c r="FE5" s="206" t="str">
        <f>VLOOKUP([1]Start!$H$23,[1]Header_Data!$A3:$GZ32,166,FALSE)</f>
        <v>Pflichtfeld</v>
      </c>
      <c r="FF5" s="206" t="str">
        <f>VLOOKUP(Start!$H$23,Header_Data!$A3:$GZ32,167,FALSE)</f>
        <v>Kannfeld</v>
      </c>
      <c r="FG5" s="206" t="str">
        <f>VLOOKUP(Start!$H$23,Header_Data!$A3:$GZ32,168,FALSE)</f>
        <v>abhängiges Feld</v>
      </c>
      <c r="FH5" s="206" t="str">
        <f>VLOOKUP(Start!$H$23,Header_Data!$A3:$GZ32,169,FALSE)</f>
        <v>Pflichtfeld</v>
      </c>
      <c r="FI5" s="206" t="str">
        <f>VLOOKUP([1]Start!$H$23,[1]Header_Data!$A3:$GZ32,170,FALSE)</f>
        <v>Pflichtfeld
Bitte Besonderheiten aufführen bzw. bei Anhängen die Dateinamen in den folgenden Feldern eintragen (graue Spaltenüberschriften).</v>
      </c>
      <c r="FJ5" s="206" t="str">
        <f>VLOOKUP([1]Start!$H$23,[1]Header_Data!$A3:$GZ32,171,FALSE)</f>
        <v>abhängiges Feld, wenn ein SET vorliegt, bitte alle relvanten SDB durch "/" getrennt aufführen</v>
      </c>
      <c r="FK5" s="206" t="str">
        <f>VLOOKUP([1]Start!$H$23,[1]Header_Data!$A3:$GZ32,172,FALSE)</f>
        <v>abhängiges Feld, wenn ein SET vorliegt, bitte alle relvanten Bilder durch "/" getrennt aufführen</v>
      </c>
      <c r="FL5" s="206" t="str">
        <f>VLOOKUP([1]Start!$H$23,[1]Header_Data!$A3:$GZ32,173,FALSE)</f>
        <v>abhängiges Feld, wenn ein SET vorliegt, bitte Name der Stückliste oder Produktbeschreibung angeben</v>
      </c>
      <c r="FM5" s="206" t="str">
        <f>VLOOKUP([1]Start!$H$23,[1]Header_Data!$A3:$GZ32,174,FALSE)</f>
        <v>abhängiges Feld</v>
      </c>
      <c r="FN5" s="206" t="str">
        <f>VLOOKUP([1]Start!$H$23,[1]Header_Data!$A3:$GZ32,175,FALSE)</f>
        <v>abhängiges Feld</v>
      </c>
      <c r="FO5" s="206" t="str">
        <f>VLOOKUP([1]Start!$H$23,[1]Header_Data!$A3:$GZ32,176,FALSE)</f>
        <v>Pflichtfeld 
Wenn "J", bitte auch die folgenden Felder ausfüllen (graue Spaltenüberschriften).</v>
      </c>
      <c r="FP5" s="206" t="str">
        <f>VLOOKUP([1]Start!$H$23,[1]Header_Data!$A3:$GZ32,177,FALSE)</f>
        <v>abhängiges Feld</v>
      </c>
      <c r="FQ5" s="206" t="str">
        <f>VLOOKUP([1]Start!$H$23,[1]Header_Data!$A3:$GZ32,178,FALSE)</f>
        <v>Pflichtfeld 
Wenn "J", bitte auch die folgenden Felder ausfüllen (graue Spaltenüberschriften).</v>
      </c>
      <c r="FR5" s="206" t="str">
        <f>VLOOKUP([1]Start!$H$23,[1]Header_Data!$A3:$GZ32,179,FALSE)</f>
        <v>abhängiges Feld</v>
      </c>
      <c r="FS5" s="206" t="str">
        <f>VLOOKUP([1]Start!$H$23,[1]Header_Data!$A3:$GZ32,180,FALSE)</f>
        <v>Pflichtfeld 
Wenn "J", bitte in 47.1. alle relevanten SDB aufführen und in 47.3. Name der Stückliste/ Produktbeschreibung angeben</v>
      </c>
      <c r="FT5" s="206" t="s">
        <v>41</v>
      </c>
      <c r="FU5" s="206" t="str">
        <f>VLOOKUP([1]Start!$H$23,[1]Header_Data!$A3:$GZ32,181,FALSE)</f>
        <v>abhängiges Feld</v>
      </c>
      <c r="FV5" s="206" t="str">
        <f>VLOOKUP([1]Start!$H$23,[1]Header_Data!$A3:$GZ32,182,FALSE)</f>
        <v>abhängiges Feld</v>
      </c>
      <c r="FW5" s="206" t="str">
        <f>VLOOKUP([1]Start!$H$23,[1]Header_Data!$A3:$GZ32,183,FALSE)</f>
        <v>abhängiges Feld</v>
      </c>
      <c r="FX5" s="206" t="str">
        <f>VLOOKUP([1]Start!$H$23,[1]Header_Data!$A3:$GZ32,184,FALSE)</f>
        <v>abhängiges Feld</v>
      </c>
      <c r="FY5" s="206" t="s">
        <v>41</v>
      </c>
    </row>
    <row r="6" spans="1:181" s="207" customFormat="1" ht="17.25" customHeight="1" x14ac:dyDescent="0.3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</row>
    <row r="7" spans="1:181" s="209" customFormat="1" ht="42" customHeight="1" x14ac:dyDescent="0.3">
      <c r="A7" s="225" t="s">
        <v>12</v>
      </c>
      <c r="B7" s="214" t="s">
        <v>13</v>
      </c>
      <c r="C7" s="226" t="s">
        <v>14</v>
      </c>
      <c r="D7" s="105" t="s">
        <v>15</v>
      </c>
      <c r="E7" s="227">
        <v>2958465</v>
      </c>
      <c r="F7" s="214" t="s">
        <v>16</v>
      </c>
      <c r="G7" s="214">
        <v>6789</v>
      </c>
      <c r="H7" s="227">
        <v>47484</v>
      </c>
      <c r="I7" s="227">
        <v>47484</v>
      </c>
      <c r="J7" s="214" t="s">
        <v>35</v>
      </c>
      <c r="K7" s="214" t="s">
        <v>16</v>
      </c>
      <c r="L7" s="214"/>
      <c r="M7" s="214"/>
      <c r="N7" s="214" t="s">
        <v>18</v>
      </c>
      <c r="O7" s="214">
        <v>12345</v>
      </c>
      <c r="P7" s="214" t="s">
        <v>36</v>
      </c>
      <c r="Q7" s="214" t="s">
        <v>18</v>
      </c>
      <c r="R7" s="214">
        <v>69406</v>
      </c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20" t="s">
        <v>21</v>
      </c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0" t="s">
        <v>16</v>
      </c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220"/>
      <c r="DJ7" s="220"/>
      <c r="DK7" s="220"/>
      <c r="DL7" s="220"/>
      <c r="DM7" s="220"/>
      <c r="DN7" s="220"/>
      <c r="DO7" s="220"/>
      <c r="DP7" s="220" t="s">
        <v>21</v>
      </c>
      <c r="DQ7" s="229"/>
      <c r="DR7" s="229"/>
      <c r="DS7" s="229"/>
      <c r="DT7" s="229"/>
      <c r="DU7" s="229"/>
      <c r="DV7" s="229"/>
      <c r="DW7" s="229"/>
      <c r="DX7" s="229"/>
      <c r="DY7" s="229"/>
      <c r="DZ7" s="229"/>
      <c r="EA7" s="229"/>
      <c r="EB7" s="229"/>
      <c r="EC7" s="229"/>
      <c r="ED7" s="229"/>
      <c r="EE7" s="229"/>
      <c r="EF7" s="229"/>
      <c r="EG7" s="229"/>
      <c r="EH7" s="229"/>
      <c r="EI7" s="229"/>
      <c r="EJ7" s="229"/>
      <c r="EK7" s="229"/>
      <c r="EL7" s="220">
        <v>1</v>
      </c>
      <c r="EM7" s="220">
        <v>10</v>
      </c>
      <c r="EN7" s="220"/>
      <c r="EO7" s="220"/>
      <c r="EP7" s="220"/>
      <c r="EQ7" s="220"/>
      <c r="ER7" s="220"/>
      <c r="ES7" s="220"/>
      <c r="ET7" s="220"/>
      <c r="EU7" s="220"/>
      <c r="EV7" s="220"/>
      <c r="EW7" s="220"/>
      <c r="EX7" s="220"/>
      <c r="EY7" s="220"/>
      <c r="EZ7" s="220"/>
      <c r="FA7" s="220"/>
      <c r="FB7" s="229">
        <v>40169300</v>
      </c>
      <c r="FC7" s="229" t="s">
        <v>20</v>
      </c>
      <c r="FD7" s="229" t="s">
        <v>28</v>
      </c>
      <c r="FE7" s="229"/>
      <c r="FF7" s="229">
        <v>10</v>
      </c>
      <c r="FG7" s="229" t="s">
        <v>37</v>
      </c>
      <c r="FH7" s="231">
        <v>0.19</v>
      </c>
    </row>
    <row r="8" spans="1:181" x14ac:dyDescent="0.3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10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</row>
    <row r="9" spans="1:181" x14ac:dyDescent="0.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</row>
    <row r="10" spans="1:181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</row>
    <row r="11" spans="1:181" x14ac:dyDescent="0.3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10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</row>
    <row r="12" spans="1:181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</row>
    <row r="13" spans="1:181" x14ac:dyDescent="0.3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</row>
    <row r="14" spans="1:181" x14ac:dyDescent="0.3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</row>
    <row r="15" spans="1:181" x14ac:dyDescent="0.3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</row>
    <row r="16" spans="1:181" x14ac:dyDescent="0.3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</row>
    <row r="17" spans="1:164" x14ac:dyDescent="0.3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</row>
    <row r="18" spans="1:164" x14ac:dyDescent="0.3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</row>
  </sheetData>
  <sheetProtection sheet="1" objects="1" scenarios="1" selectLockedCells="1"/>
  <mergeCells count="153">
    <mergeCell ref="FW2:FW3"/>
    <mergeCell ref="FX2:FX3"/>
    <mergeCell ref="FY2:FY3"/>
    <mergeCell ref="FQ2:FQ3"/>
    <mergeCell ref="FR2:FR3"/>
    <mergeCell ref="FS2:FS3"/>
    <mergeCell ref="FU2:FU3"/>
    <mergeCell ref="FV2:FV3"/>
    <mergeCell ref="FE2:FE3"/>
    <mergeCell ref="FI2:FI3"/>
    <mergeCell ref="FO2:FO3"/>
    <mergeCell ref="FP2:FP3"/>
    <mergeCell ref="FT2:FT3"/>
    <mergeCell ref="FH2:FH3"/>
    <mergeCell ref="EN4:EP4"/>
    <mergeCell ref="EQ4:ER4"/>
    <mergeCell ref="EV4:EX4"/>
    <mergeCell ref="EY4:EZ4"/>
    <mergeCell ref="EU2:EU3"/>
    <mergeCell ref="EV2:EZ2"/>
    <mergeCell ref="FA2:FA3"/>
    <mergeCell ref="DO2:DO3"/>
    <mergeCell ref="CT4:CV4"/>
    <mergeCell ref="EN2:ER2"/>
    <mergeCell ref="ES2:ES3"/>
    <mergeCell ref="ET2:ET3"/>
    <mergeCell ref="DJ2:DJ3"/>
    <mergeCell ref="DK2:DK3"/>
    <mergeCell ref="DL2:DL3"/>
    <mergeCell ref="DM2:DM3"/>
    <mergeCell ref="DN2:DN3"/>
    <mergeCell ref="DD2:DD3"/>
    <mergeCell ref="DE2:DE3"/>
    <mergeCell ref="DG2:DG3"/>
    <mergeCell ref="DH2:DH3"/>
    <mergeCell ref="DI2:DI3"/>
    <mergeCell ref="CW2:CW3"/>
    <mergeCell ref="CX2:CX3"/>
    <mergeCell ref="CY2:CY3"/>
    <mergeCell ref="CZ2:CZ3"/>
    <mergeCell ref="DB2:DB3"/>
    <mergeCell ref="DQ4:DV4"/>
    <mergeCell ref="DX4:EC4"/>
    <mergeCell ref="EE4:EJ4"/>
    <mergeCell ref="DQ2:DV2"/>
    <mergeCell ref="CP2:CP3"/>
    <mergeCell ref="CQ2:CQ3"/>
    <mergeCell ref="CR2:CR3"/>
    <mergeCell ref="CS2:CS3"/>
    <mergeCell ref="CT2:CV2"/>
    <mergeCell ref="DP2:DP3"/>
    <mergeCell ref="CJ2:CJ3"/>
    <mergeCell ref="CK2:CK3"/>
    <mergeCell ref="CL2:CL3"/>
    <mergeCell ref="CM2:CM3"/>
    <mergeCell ref="CO2:CO3"/>
    <mergeCell ref="CE2:CE3"/>
    <mergeCell ref="CF2:CF3"/>
    <mergeCell ref="CG2:CG3"/>
    <mergeCell ref="CH2:CH3"/>
    <mergeCell ref="CI2:CI3"/>
    <mergeCell ref="CN2:CN3"/>
    <mergeCell ref="CB2:CB3"/>
    <mergeCell ref="CC2:CC3"/>
    <mergeCell ref="CD2:CD3"/>
    <mergeCell ref="AP4:AS4"/>
    <mergeCell ref="BN2:BN3"/>
    <mergeCell ref="BD2:BD3"/>
    <mergeCell ref="BE2:BE3"/>
    <mergeCell ref="BF2:BF3"/>
    <mergeCell ref="BG2:BG3"/>
    <mergeCell ref="BH2:BH3"/>
    <mergeCell ref="AY2:AY3"/>
    <mergeCell ref="AZ2:AZ3"/>
    <mergeCell ref="BA2:BA3"/>
    <mergeCell ref="BB2:BB3"/>
    <mergeCell ref="BC2:BC3"/>
    <mergeCell ref="AT2:AT3"/>
    <mergeCell ref="AU2:AU3"/>
    <mergeCell ref="AV2:AV3"/>
    <mergeCell ref="AW2:AW3"/>
    <mergeCell ref="AX2:AX3"/>
    <mergeCell ref="BO2:BO3"/>
    <mergeCell ref="BI2:BI3"/>
    <mergeCell ref="Z2:Z3"/>
    <mergeCell ref="AA2:AA3"/>
    <mergeCell ref="AB2:AB3"/>
    <mergeCell ref="BZ2:BZ3"/>
    <mergeCell ref="CA2:CA3"/>
    <mergeCell ref="BJ2:BJ3"/>
    <mergeCell ref="BK2:BK3"/>
    <mergeCell ref="BW2:BW3"/>
    <mergeCell ref="BX2:BX3"/>
    <mergeCell ref="S2:S3"/>
    <mergeCell ref="T2:T3"/>
    <mergeCell ref="U2:U3"/>
    <mergeCell ref="V2:V3"/>
    <mergeCell ref="W2:W3"/>
    <mergeCell ref="BM2:BM3"/>
    <mergeCell ref="BL2:BL3"/>
    <mergeCell ref="AM2:AM3"/>
    <mergeCell ref="AN2:AN3"/>
    <mergeCell ref="AO2:AO3"/>
    <mergeCell ref="AP2:AQ2"/>
    <mergeCell ref="AR2:AS2"/>
    <mergeCell ref="AH2:AH3"/>
    <mergeCell ref="AI2:AI3"/>
    <mergeCell ref="AJ2:AJ3"/>
    <mergeCell ref="AK2:AK3"/>
    <mergeCell ref="AL2:AL3"/>
    <mergeCell ref="AC2:AC3"/>
    <mergeCell ref="AD2:AD3"/>
    <mergeCell ref="AE2:AE3"/>
    <mergeCell ref="AF2:AF3"/>
    <mergeCell ref="AG2:AG3"/>
    <mergeCell ref="X2:X3"/>
    <mergeCell ref="Y2:Y3"/>
    <mergeCell ref="FB2:FB3"/>
    <mergeCell ref="FC2:FC3"/>
    <mergeCell ref="FD2:FD3"/>
    <mergeCell ref="EL2:EL3"/>
    <mergeCell ref="EM2:EM3"/>
    <mergeCell ref="FF2:FF3"/>
    <mergeCell ref="FG2:FG3"/>
    <mergeCell ref="DW2:DW3"/>
    <mergeCell ref="DX2:EC2"/>
    <mergeCell ref="ED2:ED3"/>
    <mergeCell ref="EE2:EJ2"/>
    <mergeCell ref="EK2:EK3"/>
    <mergeCell ref="A2:A3"/>
    <mergeCell ref="B2:D2"/>
    <mergeCell ref="E2:E3"/>
    <mergeCell ref="F2:F3"/>
    <mergeCell ref="G2:G3"/>
    <mergeCell ref="BY2:BY3"/>
    <mergeCell ref="H2:H3"/>
    <mergeCell ref="O2:O3"/>
    <mergeCell ref="P2:P3"/>
    <mergeCell ref="Q2:Q3"/>
    <mergeCell ref="R2:R3"/>
    <mergeCell ref="I2:I3"/>
    <mergeCell ref="J2:J3"/>
    <mergeCell ref="K2:K3"/>
    <mergeCell ref="L2:L3"/>
    <mergeCell ref="M2:M3"/>
    <mergeCell ref="N2:N3"/>
    <mergeCell ref="BP2:BP3"/>
    <mergeCell ref="BQ2:BQ3"/>
    <mergeCell ref="BR2:BR3"/>
    <mergeCell ref="BS2:BS3"/>
    <mergeCell ref="BT2:BT3"/>
    <mergeCell ref="BU2:BU3"/>
    <mergeCell ref="BV2:BV3"/>
  </mergeCells>
  <dataValidations count="9">
    <dataValidation type="whole" allowBlank="1" showInputMessage="1" showErrorMessage="1" errorTitle="Falsche Eingabe" error="Bitte tragen Sie eine Zahl ein." sqref="C1:C1048576" xr:uid="{2506863A-ED6D-4473-BE18-49E1D77FCD2D}">
      <formula1>0</formula1>
      <formula2>9.99999999999999E+47</formula2>
    </dataValidation>
    <dataValidation type="date" allowBlank="1" showInputMessage="1" showErrorMessage="1" errorTitle="Falsche Eingabe" error="Bitte tragen Sie ein gültiges Datum ein." sqref="E1:E1048576 H1:I1048576 L1:L1048576" xr:uid="{4E8494C5-818D-449B-93FE-CA6028BB8BD1}">
      <formula1>18264</formula1>
      <formula2>2958465</formula2>
    </dataValidation>
    <dataValidation type="list" allowBlank="1" showInputMessage="1" showErrorMessage="1" errorTitle="Falsche Eingabe" error="Bitte tragen Sie ein N (Neuanlage), ein A (Änderung) oder ein Z (nicht mehr lieferbar) ein." sqref="F1:F1048576" xr:uid="{9C9C6C80-AA3A-43C4-A0A6-477516517DF5}">
      <formula1>"N,A,Z"</formula1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1:J7" xr:uid="{2BDC0352-C0F5-4E5F-B04C-8D558B7E4299}">
      <formula1>"Beutel,Dose,Eimer,Flasche,Kanister,Karton,Muster,Packung,Rolle,Set,Spender,Spritze,Stück,Tube,Kit,Bundle,Box,Blister"</formula1>
    </dataValidation>
    <dataValidation type="list" allowBlank="1" showInputMessage="1" showErrorMessage="1" errorTitle="Falsche Eingabe" error="Bitte tragen Sie ein J oder N ein." sqref="EK1:EK1048576 K1:K1048576 BL1:DP1048576 DW1:DW1048576 ED1:ED1048576 FT1:FT5 FY1" xr:uid="{DC2C2842-05ED-43B3-9E2D-0DC6808C7A64}">
      <formula1>"J,N"</formula1>
    </dataValidation>
    <dataValidation type="decimal" allowBlank="1" showInputMessage="1" showErrorMessage="1" errorTitle="Falsche Eingabe" error="Bitte tragen Sie eine Zahl ein." sqref="DQ1:DV1048576 DX1:EC1048576 EE1:EJ1048576" xr:uid="{49DF66F8-5EE0-4B61-8B48-5D9989A70309}">
      <formula1>0</formula1>
      <formula2>9.99999999999999E+46</formula2>
    </dataValidation>
    <dataValidation type="decimal" allowBlank="1" showInputMessage="1" showErrorMessage="1" errorTitle="Falsche Eingabe" error="Bitte tragen Sie eine Zahl ein._x000a_" sqref="FF1:FF1048576" xr:uid="{0249BF1F-DC24-42E1-986D-6E0DD251B32E}">
      <formula1>0</formula1>
      <formula2>9.99999999999999E+46</formula2>
    </dataValidation>
    <dataValidation type="whole" allowBlank="1" showInputMessage="1" showErrorMessage="1" errorTitle="Falsche Eingabe" error="Bitte tragen Sie eine Zahl ein." sqref="EL1:FB1048576" xr:uid="{5F4011B6-2E07-4E35-8D3D-A1EDE802B472}">
      <formula1>0</formula1>
      <formula2>9.99999999999999E+46</formula2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8:J1048576" xr:uid="{7CC9743A-1D64-4C4F-9F76-9DE717974649}">
      <formula1>"Beutel,Dose,Eimer,Flasche,Kanister,Karton,Muster,Packung,Rolle,Set,Spender,Spritze,Stück,Tube,Kit,Bundle,Box,Blister,Nachfüllpackung,Großpackung"</formula1>
    </dataValidation>
  </dataValidations>
  <hyperlinks>
    <hyperlink ref="D7" r:id="rId1" xr:uid="{8FBA5B6C-F18A-4E4C-8E81-BA0934A13DF9}"/>
  </hyperlinks>
  <pageMargins left="0.70866141732283472" right="0.70866141732283472" top="0.78740157480314965" bottom="0.78740157480314965" header="0.31496062992125984" footer="0.31496062992125984"/>
  <pageSetup paperSize="8" scale="9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54F2C-B6CA-472B-9B15-552FD61124ED}">
  <dimension ref="A1:GD18"/>
  <sheetViews>
    <sheetView zoomScale="80" zoomScaleNormal="80" workbookViewId="0">
      <pane ySplit="5" topLeftCell="A6" activePane="bottomLeft" state="frozen"/>
      <selection activeCell="A2" sqref="A2"/>
      <selection pane="bottomLeft" activeCell="N8" sqref="N8"/>
    </sheetView>
  </sheetViews>
  <sheetFormatPr baseColWidth="10" defaultColWidth="11.44140625" defaultRowHeight="14.4" outlineLevelRow="1" x14ac:dyDescent="0.3"/>
  <cols>
    <col min="1" max="1" width="12.44140625" style="106" customWidth="1"/>
    <col min="2" max="4" width="9.44140625" style="106" customWidth="1"/>
    <col min="5" max="5" width="12.5546875" style="106" customWidth="1"/>
    <col min="6" max="6" width="21.44140625" style="106" customWidth="1"/>
    <col min="7" max="9" width="13.88671875" style="106" customWidth="1"/>
    <col min="10" max="10" width="19.109375" style="106" customWidth="1"/>
    <col min="11" max="11" width="19" style="106" customWidth="1"/>
    <col min="12" max="13" width="13.88671875" style="106" customWidth="1"/>
    <col min="14" max="18" width="11.5546875" style="106" customWidth="1"/>
    <col min="19" max="19" width="21.5546875" style="106" customWidth="1"/>
    <col min="20" max="20" width="8.5546875" style="106" customWidth="1"/>
    <col min="21" max="21" width="18.88671875" style="106" customWidth="1"/>
    <col min="22" max="22" width="40.6640625" style="106" bestFit="1" customWidth="1"/>
    <col min="23" max="29" width="13.88671875" style="106" customWidth="1"/>
    <col min="30" max="30" width="9.5546875" style="106" customWidth="1"/>
    <col min="31" max="31" width="13.88671875" style="106" customWidth="1"/>
    <col min="32" max="32" width="16.88671875" style="106" customWidth="1"/>
    <col min="33" max="33" width="13.88671875" style="106" customWidth="1"/>
    <col min="34" max="34" width="15.5546875" style="106" customWidth="1"/>
    <col min="35" max="35" width="8.5546875" style="106" customWidth="1" collapsed="1"/>
    <col min="36" max="36" width="8.5546875" style="106" customWidth="1"/>
    <col min="37" max="37" width="27.44140625" style="106" customWidth="1"/>
    <col min="38" max="38" width="13.88671875" style="106" customWidth="1"/>
    <col min="39" max="39" width="19" style="106" customWidth="1"/>
    <col min="40" max="40" width="13.88671875" style="106" customWidth="1"/>
    <col min="41" max="41" width="24" style="106" customWidth="1"/>
    <col min="42" max="45" width="10.109375" style="106" customWidth="1"/>
    <col min="46" max="47" width="13.88671875" style="106" customWidth="1"/>
    <col min="48" max="59" width="13.88671875" style="106" hidden="1" customWidth="1"/>
    <col min="60" max="60" width="19" style="106" customWidth="1"/>
    <col min="61" max="63" width="13.88671875" style="106" customWidth="1"/>
    <col min="64" max="65" width="13.88671875" style="106" hidden="1" customWidth="1"/>
    <col min="66" max="66" width="19" style="106" customWidth="1"/>
    <col min="67" max="67" width="13.88671875" style="106" customWidth="1"/>
    <col min="68" max="69" width="13.88671875" style="106" hidden="1" customWidth="1"/>
    <col min="70" max="70" width="11.44140625" style="106" customWidth="1"/>
    <col min="71" max="71" width="24" style="106" customWidth="1"/>
    <col min="72" max="73" width="13.88671875" style="106" customWidth="1"/>
    <col min="74" max="74" width="16.5546875" style="106" customWidth="1"/>
    <col min="75" max="77" width="13.88671875" style="106" customWidth="1"/>
    <col min="78" max="78" width="9.5546875" style="106" customWidth="1"/>
    <col min="79" max="81" width="13.88671875" style="106" customWidth="1"/>
    <col min="82" max="82" width="15" style="106" customWidth="1"/>
    <col min="83" max="91" width="13.88671875" style="106" customWidth="1"/>
    <col min="92" max="92" width="14.44140625" style="106" customWidth="1"/>
    <col min="93" max="93" width="18.5546875" style="106" customWidth="1" collapsed="1"/>
    <col min="94" max="96" width="13.88671875" style="106" customWidth="1"/>
    <col min="97" max="97" width="16.5546875" style="106" customWidth="1"/>
    <col min="98" max="98" width="13.88671875" style="106" customWidth="1"/>
    <col min="99" max="99" width="10.88671875" style="106" customWidth="1"/>
    <col min="100" max="101" width="13.88671875" style="106" customWidth="1"/>
    <col min="102" max="103" width="11.44140625" style="106" customWidth="1"/>
    <col min="104" max="104" width="13.88671875" style="106" customWidth="1"/>
    <col min="105" max="105" width="19" style="106" customWidth="1"/>
    <col min="106" max="106" width="13.88671875" style="106" customWidth="1"/>
    <col min="107" max="107" width="16.5546875" style="106" customWidth="1"/>
    <col min="108" max="108" width="10.5546875" style="106" customWidth="1"/>
    <col min="109" max="109" width="13.88671875" style="106" customWidth="1"/>
    <col min="110" max="110" width="16.5546875" style="106" customWidth="1"/>
    <col min="111" max="111" width="13.88671875" style="106" customWidth="1"/>
    <col min="112" max="113" width="9.5546875" style="106" customWidth="1"/>
    <col min="114" max="114" width="13.88671875" style="106" customWidth="1"/>
    <col min="115" max="115" width="19" style="106" customWidth="1"/>
    <col min="116" max="119" width="13.88671875" style="106" customWidth="1"/>
    <col min="120" max="120" width="29.88671875" style="106" customWidth="1"/>
    <col min="121" max="121" width="9.109375" style="106" customWidth="1"/>
    <col min="122" max="123" width="9.5546875" style="106" customWidth="1"/>
    <col min="124" max="124" width="7.109375" style="106" customWidth="1"/>
    <col min="125" max="126" width="9.5546875" style="106" customWidth="1"/>
    <col min="127" max="127" width="13.88671875" style="106" customWidth="1"/>
    <col min="128" max="130" width="9.5546875" style="106" customWidth="1"/>
    <col min="131" max="131" width="7.109375" style="106" customWidth="1"/>
    <col min="132" max="133" width="9.5546875" style="106" customWidth="1"/>
    <col min="134" max="134" width="13.88671875" style="106" customWidth="1"/>
    <col min="135" max="135" width="6.109375" style="106" customWidth="1"/>
    <col min="136" max="137" width="9.5546875" style="106" customWidth="1"/>
    <col min="138" max="138" width="7.109375" style="106" customWidth="1"/>
    <col min="139" max="140" width="9.5546875" style="106" customWidth="1"/>
    <col min="141" max="141" width="13.88671875" style="106" customWidth="1"/>
    <col min="142" max="142" width="10.88671875" style="106" customWidth="1"/>
    <col min="143" max="143" width="12.5546875" style="106" customWidth="1"/>
    <col min="144" max="148" width="10.88671875" style="106" customWidth="1"/>
    <col min="149" max="149" width="19" style="106" customWidth="1"/>
    <col min="150" max="151" width="13.88671875" style="106" customWidth="1"/>
    <col min="152" max="154" width="8.109375" style="106" customWidth="1"/>
    <col min="155" max="156" width="13.88671875" style="106" customWidth="1"/>
    <col min="157" max="157" width="16.5546875" style="106" customWidth="1"/>
    <col min="158" max="159" width="13.88671875" style="106" customWidth="1"/>
    <col min="160" max="160" width="9.5546875" style="106" customWidth="1"/>
    <col min="161" max="161" width="12.44140625" style="106" customWidth="1"/>
    <col min="162" max="166" width="8.5546875" style="106" customWidth="1"/>
    <col min="167" max="167" width="13.88671875" style="106" customWidth="1"/>
    <col min="168" max="168" width="8.5546875" style="106" customWidth="1" collapsed="1"/>
    <col min="169" max="169" width="33" style="106" customWidth="1"/>
    <col min="170" max="172" width="13.88671875" style="106" customWidth="1"/>
    <col min="173" max="173" width="13.88671875" style="106" hidden="1" customWidth="1"/>
    <col min="174" max="174" width="13.88671875" style="106" customWidth="1"/>
    <col min="175" max="175" width="13.44140625" style="106" customWidth="1"/>
    <col min="176" max="176" width="13.88671875" style="106" customWidth="1"/>
    <col min="177" max="177" width="19" style="106" customWidth="1"/>
    <col min="178" max="178" width="13.88671875" style="106" customWidth="1"/>
    <col min="179" max="180" width="19" style="106" customWidth="1"/>
    <col min="181" max="181" width="13.88671875" style="106" customWidth="1"/>
    <col min="182" max="182" width="14.44140625" style="106" customWidth="1"/>
    <col min="183" max="183" width="14.5546875" style="106" customWidth="1"/>
    <col min="184" max="184" width="18.44140625" style="106" customWidth="1"/>
    <col min="185" max="16384" width="11.44140625" style="106"/>
  </cols>
  <sheetData>
    <row r="1" spans="1:186" s="168" customFormat="1" ht="20.399999999999999" customHeight="1" x14ac:dyDescent="0.3">
      <c r="A1" s="167">
        <v>1</v>
      </c>
      <c r="B1" s="167">
        <v>2</v>
      </c>
      <c r="C1" s="167">
        <v>3</v>
      </c>
      <c r="D1" s="167">
        <v>4</v>
      </c>
      <c r="E1" s="167">
        <v>5</v>
      </c>
      <c r="F1" s="167">
        <v>6</v>
      </c>
      <c r="G1" s="167">
        <v>7</v>
      </c>
      <c r="H1" s="167">
        <v>8</v>
      </c>
      <c r="I1" s="167">
        <v>9</v>
      </c>
      <c r="J1" s="167">
        <v>10</v>
      </c>
      <c r="K1" s="167">
        <v>11</v>
      </c>
      <c r="L1" s="167">
        <v>12</v>
      </c>
      <c r="M1" s="167">
        <v>13</v>
      </c>
      <c r="N1" s="167">
        <v>14</v>
      </c>
      <c r="O1" s="167">
        <v>15</v>
      </c>
      <c r="P1" s="167">
        <v>16</v>
      </c>
      <c r="Q1" s="167">
        <v>17</v>
      </c>
      <c r="R1" s="167">
        <v>18</v>
      </c>
      <c r="S1" s="167">
        <v>19</v>
      </c>
      <c r="T1" s="167">
        <v>20</v>
      </c>
      <c r="U1" s="167">
        <v>21</v>
      </c>
      <c r="V1" s="167">
        <v>22</v>
      </c>
      <c r="W1" s="167">
        <v>23</v>
      </c>
      <c r="X1" s="167">
        <v>24</v>
      </c>
      <c r="Y1" s="167">
        <v>25</v>
      </c>
      <c r="Z1" s="167">
        <v>26</v>
      </c>
      <c r="AA1" s="167">
        <v>27</v>
      </c>
      <c r="AB1" s="167">
        <v>28</v>
      </c>
      <c r="AC1" s="167">
        <v>29</v>
      </c>
      <c r="AD1" s="167">
        <v>30</v>
      </c>
      <c r="AE1" s="167">
        <v>31</v>
      </c>
      <c r="AF1" s="167">
        <v>32</v>
      </c>
      <c r="AG1" s="167">
        <v>33</v>
      </c>
      <c r="AH1" s="167">
        <v>34</v>
      </c>
      <c r="AI1" s="167">
        <v>35</v>
      </c>
      <c r="AJ1" s="167">
        <v>36</v>
      </c>
      <c r="AK1" s="167">
        <v>37</v>
      </c>
      <c r="AL1" s="167">
        <v>38</v>
      </c>
      <c r="AM1" s="167">
        <v>39</v>
      </c>
      <c r="AN1" s="167">
        <v>40</v>
      </c>
      <c r="AO1" s="167">
        <v>41</v>
      </c>
      <c r="AP1" s="167">
        <v>42</v>
      </c>
      <c r="AQ1" s="167">
        <v>43</v>
      </c>
      <c r="AR1" s="167">
        <v>44</v>
      </c>
      <c r="AS1" s="167">
        <v>45</v>
      </c>
      <c r="AT1" s="167">
        <v>46</v>
      </c>
      <c r="AU1" s="167">
        <v>47</v>
      </c>
      <c r="AV1" s="167">
        <v>48</v>
      </c>
      <c r="AW1" s="167">
        <v>49</v>
      </c>
      <c r="AX1" s="167">
        <v>50</v>
      </c>
      <c r="AY1" s="167">
        <v>51</v>
      </c>
      <c r="AZ1" s="167">
        <v>52</v>
      </c>
      <c r="BA1" s="167">
        <v>53</v>
      </c>
      <c r="BB1" s="167">
        <v>54</v>
      </c>
      <c r="BC1" s="167">
        <v>55</v>
      </c>
      <c r="BD1" s="167">
        <v>56</v>
      </c>
      <c r="BE1" s="167">
        <v>57</v>
      </c>
      <c r="BF1" s="167">
        <v>58</v>
      </c>
      <c r="BG1" s="167">
        <v>59</v>
      </c>
      <c r="BH1" s="167">
        <v>60</v>
      </c>
      <c r="BI1" s="167">
        <v>61</v>
      </c>
      <c r="BJ1" s="167">
        <v>62</v>
      </c>
      <c r="BK1" s="167">
        <v>63</v>
      </c>
      <c r="BL1" s="167">
        <v>64</v>
      </c>
      <c r="BM1" s="167">
        <v>65</v>
      </c>
      <c r="BN1" s="167">
        <v>66</v>
      </c>
      <c r="BO1" s="167">
        <v>67</v>
      </c>
      <c r="BP1" s="167">
        <v>68</v>
      </c>
      <c r="BQ1" s="167">
        <v>69</v>
      </c>
      <c r="BR1" s="167">
        <v>70</v>
      </c>
      <c r="BS1" s="167">
        <v>71</v>
      </c>
      <c r="BT1" s="167">
        <v>72</v>
      </c>
      <c r="BU1" s="167">
        <v>73</v>
      </c>
      <c r="BV1" s="167">
        <v>74</v>
      </c>
      <c r="BW1" s="167">
        <v>75</v>
      </c>
      <c r="BX1" s="167">
        <v>76</v>
      </c>
      <c r="BY1" s="167">
        <v>77</v>
      </c>
      <c r="BZ1" s="167">
        <v>78</v>
      </c>
      <c r="CA1" s="167">
        <v>79</v>
      </c>
      <c r="CB1" s="167">
        <v>80</v>
      </c>
      <c r="CC1" s="167">
        <v>81</v>
      </c>
      <c r="CD1" s="167">
        <v>82</v>
      </c>
      <c r="CE1" s="167">
        <v>83</v>
      </c>
      <c r="CF1" s="167">
        <v>84</v>
      </c>
      <c r="CG1" s="167">
        <v>85</v>
      </c>
      <c r="CH1" s="167">
        <v>86</v>
      </c>
      <c r="CI1" s="167">
        <v>87</v>
      </c>
      <c r="CJ1" s="167">
        <v>88</v>
      </c>
      <c r="CK1" s="167">
        <v>89</v>
      </c>
      <c r="CL1" s="167">
        <v>90</v>
      </c>
      <c r="CM1" s="167">
        <v>91</v>
      </c>
      <c r="CN1" s="167">
        <v>92</v>
      </c>
      <c r="CO1" s="167">
        <v>93</v>
      </c>
      <c r="CP1" s="167">
        <v>94</v>
      </c>
      <c r="CQ1" s="167">
        <v>95</v>
      </c>
      <c r="CR1" s="167">
        <v>96</v>
      </c>
      <c r="CS1" s="167">
        <v>97</v>
      </c>
      <c r="CT1" s="167">
        <v>98</v>
      </c>
      <c r="CU1" s="167">
        <v>99</v>
      </c>
      <c r="CV1" s="167">
        <v>100</v>
      </c>
      <c r="CW1" s="167">
        <v>101</v>
      </c>
      <c r="CX1" s="167">
        <v>102</v>
      </c>
      <c r="CY1" s="167">
        <v>103</v>
      </c>
      <c r="CZ1" s="167">
        <v>104</v>
      </c>
      <c r="DA1" s="167">
        <v>105</v>
      </c>
      <c r="DB1" s="167">
        <v>106</v>
      </c>
      <c r="DC1" s="167">
        <v>107</v>
      </c>
      <c r="DD1" s="167">
        <v>108</v>
      </c>
      <c r="DE1" s="167">
        <v>109</v>
      </c>
      <c r="DF1" s="167">
        <v>110</v>
      </c>
      <c r="DG1" s="167">
        <v>111</v>
      </c>
      <c r="DH1" s="167">
        <v>112</v>
      </c>
      <c r="DI1" s="167">
        <v>113</v>
      </c>
      <c r="DJ1" s="167">
        <v>114</v>
      </c>
      <c r="DK1" s="167">
        <v>115</v>
      </c>
      <c r="DL1" s="167">
        <v>116</v>
      </c>
      <c r="DM1" s="167">
        <v>117</v>
      </c>
      <c r="DN1" s="167">
        <v>118</v>
      </c>
      <c r="DO1" s="167">
        <v>119</v>
      </c>
      <c r="DP1" s="167">
        <v>120</v>
      </c>
      <c r="DQ1" s="167">
        <v>121</v>
      </c>
      <c r="DR1" s="167">
        <v>122</v>
      </c>
      <c r="DS1" s="167">
        <v>123</v>
      </c>
      <c r="DT1" s="167">
        <v>124</v>
      </c>
      <c r="DU1" s="167">
        <v>125</v>
      </c>
      <c r="DV1" s="167">
        <v>126</v>
      </c>
      <c r="DW1" s="167">
        <v>127</v>
      </c>
      <c r="DX1" s="167">
        <v>128</v>
      </c>
      <c r="DY1" s="167">
        <v>129</v>
      </c>
      <c r="DZ1" s="167">
        <v>130</v>
      </c>
      <c r="EA1" s="167">
        <v>131</v>
      </c>
      <c r="EB1" s="167">
        <v>132</v>
      </c>
      <c r="EC1" s="167">
        <v>133</v>
      </c>
      <c r="ED1" s="167">
        <v>134</v>
      </c>
      <c r="EE1" s="167">
        <v>135</v>
      </c>
      <c r="EF1" s="167">
        <v>136</v>
      </c>
      <c r="EG1" s="167">
        <v>137</v>
      </c>
      <c r="EH1" s="167">
        <v>138</v>
      </c>
      <c r="EI1" s="167">
        <v>139</v>
      </c>
      <c r="EJ1" s="167">
        <v>140</v>
      </c>
      <c r="EK1" s="167">
        <v>141</v>
      </c>
      <c r="EL1" s="167">
        <v>142</v>
      </c>
      <c r="EM1" s="167">
        <v>143</v>
      </c>
      <c r="EN1" s="167">
        <v>144</v>
      </c>
      <c r="EO1" s="167">
        <v>145</v>
      </c>
      <c r="EP1" s="167">
        <v>146</v>
      </c>
      <c r="EQ1" s="167">
        <v>147</v>
      </c>
      <c r="ER1" s="167">
        <v>148</v>
      </c>
      <c r="ES1" s="167">
        <v>149</v>
      </c>
      <c r="ET1" s="167">
        <v>150</v>
      </c>
      <c r="EU1" s="167">
        <v>151</v>
      </c>
      <c r="EV1" s="167">
        <v>152</v>
      </c>
      <c r="EW1" s="167">
        <v>153</v>
      </c>
      <c r="EX1" s="167">
        <v>154</v>
      </c>
      <c r="EY1" s="167">
        <v>155</v>
      </c>
      <c r="EZ1" s="167">
        <v>156</v>
      </c>
      <c r="FA1" s="167">
        <v>157</v>
      </c>
      <c r="FB1" s="167">
        <v>158</v>
      </c>
      <c r="FC1" s="167">
        <v>159</v>
      </c>
      <c r="FD1" s="167">
        <v>160</v>
      </c>
      <c r="FE1" s="167">
        <v>161</v>
      </c>
      <c r="FF1" s="167">
        <v>162</v>
      </c>
      <c r="FG1" s="167">
        <v>163</v>
      </c>
      <c r="FH1" s="167">
        <v>164</v>
      </c>
      <c r="FI1" s="167">
        <v>165</v>
      </c>
      <c r="FJ1" s="167">
        <v>166</v>
      </c>
      <c r="FK1" s="167">
        <v>167</v>
      </c>
      <c r="FL1" s="167">
        <v>168</v>
      </c>
      <c r="FM1" s="167">
        <v>169</v>
      </c>
      <c r="FN1" s="167">
        <v>170</v>
      </c>
      <c r="FO1" s="167">
        <v>171</v>
      </c>
      <c r="FP1" s="167">
        <v>172</v>
      </c>
      <c r="FQ1" s="167">
        <v>173</v>
      </c>
      <c r="FR1" s="167">
        <v>174</v>
      </c>
      <c r="FS1" s="167">
        <v>175</v>
      </c>
      <c r="FT1" s="167">
        <v>176</v>
      </c>
      <c r="FU1" s="167">
        <v>177</v>
      </c>
      <c r="FV1" s="167">
        <v>178</v>
      </c>
      <c r="FW1" s="167">
        <v>179</v>
      </c>
      <c r="FX1" s="167">
        <v>180</v>
      </c>
      <c r="FY1" s="167">
        <v>181</v>
      </c>
      <c r="FZ1" s="167">
        <v>182</v>
      </c>
      <c r="GA1" s="167">
        <v>183</v>
      </c>
      <c r="GB1" s="167">
        <v>184</v>
      </c>
      <c r="GC1" s="168">
        <v>185</v>
      </c>
      <c r="GD1" s="168">
        <v>186</v>
      </c>
    </row>
    <row r="2" spans="1:186" s="189" customFormat="1" ht="48" customHeight="1" x14ac:dyDescent="0.3">
      <c r="A2" s="169" t="str">
        <f>VLOOKUP(Start!$H$20,Header_Data!$A3:$GZ32,2,FALSE)</f>
        <v>1. Steuerzeichen, neuer Artikel beginnt</v>
      </c>
      <c r="B2" s="170" t="str">
        <f>VLOOKUP(Start!$H$20,Header_Data!$A3:$GZ32,3,FALSE)</f>
        <v>2. Ansprechpartner</v>
      </c>
      <c r="C2" s="171"/>
      <c r="D2" s="171"/>
      <c r="E2" s="170" t="str">
        <f>VLOOKUP(Start!$H$20,Header_Data!$A3:$GZ32,6,FALSE)</f>
        <v>3. Datum der Gültigkeit des Artikeldatensatzes</v>
      </c>
      <c r="F2" s="170" t="str">
        <f>VLOOKUP(Start!$H$20,Header_Data!$A3:$GZ32,7,FALSE)</f>
        <v>4. Status</v>
      </c>
      <c r="G2" s="169" t="str">
        <f>VLOOKUP(Start!$H$20,Header_Data!$A3:$GZ32,8,FALSE)</f>
        <v xml:space="preserve">4.1. Exakte Lieferanten-Artikelnummer des Vorgängerartikels </v>
      </c>
      <c r="H2" s="169" t="str">
        <f>VLOOKUP(Start!$H$20,Header_Data!$A3:$GZ32,9,FALSE)</f>
        <v>4.2. Artikelveröffentlichung zugelassen ab</v>
      </c>
      <c r="I2" s="169" t="str">
        <f>VLOOKUP(Start!$H$20,Header_Data!$A3:$GZ32,10,FALSE)</f>
        <v>4.3. Artikel lieferbar ab</v>
      </c>
      <c r="J2" s="169" t="str">
        <f>VLOOKUP(Start!$H$20,Header_Data!$A3:$GZ32,11,FALSE)</f>
        <v>4.4. Verpackungsart des Artikels?</v>
      </c>
      <c r="K2" s="170" t="str">
        <f>VLOOKUP(Start!$H$20,Header_Data!$A3:$GZ32,12,FALSE)</f>
        <v>5. Auslaufartikel</v>
      </c>
      <c r="L2" s="169" t="str">
        <f>VLOOKUP(Start!$H$20,Header_Data!$A3:$GZ32,13,FALSE)</f>
        <v>5.1. Auslaufartikel lieferbar bis</v>
      </c>
      <c r="M2" s="169" t="str">
        <f>VLOOKUP(Start!$H$20,Header_Data!$A3:$GZ32,14,FALSE)</f>
        <v>5.2. Exakte Lieferanten-Artikelnummer des Alternativartikels</v>
      </c>
      <c r="N2" s="170" t="str">
        <f>VLOOKUP(Start!$H$20,Header_Data!$A3:$GZ32,15,FALSE)</f>
        <v>6. Lieferantenname</v>
      </c>
      <c r="O2" s="170" t="str">
        <f>VLOOKUP(Start!$H$20,Header_Data!$A3:$GZ32,16,FALSE)</f>
        <v>7. Exakte Lieferanten-Artikelnummer</v>
      </c>
      <c r="P2" s="170" t="str">
        <f>VLOOKUP(Start!$H$20,Header_Data!$A3:$GZ32,17,FALSE)</f>
        <v>8. Exakte Artikelbezeichnung</v>
      </c>
      <c r="Q2" s="170" t="str">
        <f>VLOOKUP(Start!$H$20,Header_Data!$A3:$GZ32,18,FALSE)</f>
        <v>9. Herstellername</v>
      </c>
      <c r="R2" s="170" t="str">
        <f>VLOOKUP(Start!$H$20,Header_Data!$A3:$GZ32,19,FALSE)</f>
        <v>10. Exakte Hersteller-Artikelnummer</v>
      </c>
      <c r="S2" s="170" t="str">
        <f>VLOOKUP(Start!$H$20,Header_Data!$A3:$GZ32,20,FALSE)</f>
        <v>11. Produktzulassung zum Vertrieb gemäß den einschlägigen gesetzlichen oder behördlichen Bestimmungen besteht für folgende Länder:</v>
      </c>
      <c r="T2" s="170" t="str">
        <f>VLOOKUP(Start!$H$20,Header_Data!$A3:$GZ32,21,FALSE)</f>
        <v>12. CE-Kennzeichnung auf dem Produkt vorhanden [innen (i), außen (o)]?</v>
      </c>
      <c r="U2" s="170" t="str">
        <f>VLOOKUP(Start!$H$20,Header_Data!$A3:$GZ32,22,FALSE)</f>
        <v>13. Hat das Produkt einen Barcode/UDI-DI?</v>
      </c>
      <c r="V2" s="169" t="str">
        <f>VLOOKUP(Start!$H$20,Header_Data!$A3:$GZ32,23,FALSE)</f>
        <v>13.1.1. GTIN / EAN - kleinste Verkaufseinheit
(Global Trade Item Number / European Article Number)</v>
      </c>
      <c r="W2" s="169" t="str">
        <f>VLOOKUP(Start!$H$20,Header_Data!$A3:$GZ32,24,FALSE)</f>
        <v>13.1.2. GTIN / EAN - Pack
(Global Trade Item Number / European Article Number)</v>
      </c>
      <c r="X2" s="169" t="str">
        <f>VLOOKUP(Start!$H$20,Header_Data!$A3:$GZ32,25,FALSE)</f>
        <v>13.1.3. GTIN / EAN - Karton
(Global Trade Item Number / European Article Number)</v>
      </c>
      <c r="Y2" s="169" t="str">
        <f>VLOOKUP(Start!$H$20,Header_Data!$A3:$GZ32,26,FALSE)</f>
        <v>13.1.4. GTIN / EAN - Palette
(Global Trade Item Number / European Article Number)</v>
      </c>
      <c r="Z2" s="169" t="str">
        <f>VLOOKUP(Start!$H$20,Header_Data!$A3:$GZ32,27,FALSE)</f>
        <v>13.2.1 HIBC - Kleinste Verkaufseinheit
(Health Industry Bar Code)</v>
      </c>
      <c r="AA2" s="169" t="str">
        <f>VLOOKUP(Start!$H$20,Header_Data!$A3:$GZ32,28,FALSE)</f>
        <v>13.2.2 HIBC - Pack
(Health Industry Bar Code)</v>
      </c>
      <c r="AB2" s="169" t="str">
        <f>VLOOKUP(Start!$H$20,Header_Data!$A3:$GZ32,29,FALSE)</f>
        <v>13.2.3 HIBC - Karton
(Health Industry Bar Code)</v>
      </c>
      <c r="AC2" s="169" t="str">
        <f>VLOOKUP(Start!$H$20,Header_Data!$A3:$GZ32,30,FALSE)</f>
        <v>13.2.4 HIBC - Palette
(Health Industry Bar Code)</v>
      </c>
      <c r="AD2" s="169" t="str">
        <f>VLOOKUP(Start!$H$20,Header_Data!$A3:$GZ32,31,FALSE)</f>
        <v>13.3. PPN (Pharmacy Product Number)</v>
      </c>
      <c r="AE2" s="169" t="str">
        <f>VLOOKUP(Start!$H$20,Header_Data!$A3:$GZ32,32,FALSE)</f>
        <v>13.4. PZN DE (Pharmazentralnummer)</v>
      </c>
      <c r="AF2" s="170" t="str">
        <f>VLOOKUP(Start!$H$20,Header_Data!$A3:$GZ32,33,FALSE)</f>
        <v>14. eCl@ss-Code</v>
      </c>
      <c r="AG2" s="169" t="str">
        <f>VLOOKUP(Start!$H$20,Header_Data!$A3:$GZ32,34,FALSE)</f>
        <v>14.1. eCl@ss-Version</v>
      </c>
      <c r="AH2" s="170" t="str">
        <f>VLOOKUP(Start!$H$20,Header_Data!$A3:$GZ32,35,FALSE)</f>
        <v>15. In welchem Medizinbereich erfolgt die Anwendung des Artikels?</v>
      </c>
      <c r="AI2" s="170" t="str">
        <f>VLOOKUP(Start!$H$20,Header_Data!$A3:$GZ32,36,FALSE)</f>
        <v>16. Einsatzort des Produktes</v>
      </c>
      <c r="AJ2" s="170" t="str">
        <f>VLOOKUP(Start!$H$20,Header_Data!$A3:$GZ32,37,FALSE)</f>
        <v>17. Ist Artikel ein Steril-Produkt?</v>
      </c>
      <c r="AK2" s="170" t="str">
        <f>VLOOKUP(Start!$H$20,Header_Data!$A3:$GZ32,38,FALSE)</f>
        <v>18. Etikett/Produktverpackung ist sprachneutral
(nur Eigenname und Piktogramme angedruckt)</v>
      </c>
      <c r="AL2" s="169" t="str">
        <f>VLOOKUP(Start!$H$20,Header_Data!$A3:$GZ32,39,FALSE)</f>
        <v>18.1. Folgende Sprachen werden auf dem Etikett/Produktverpackung verwendet</v>
      </c>
      <c r="AM2" s="170" t="str">
        <f>VLOOKUP(Start!$H$20,Header_Data!$A3:$GZ32,40,FALSE)</f>
        <v>19. Wird eine Gebrauchsanweisung benötigt?</v>
      </c>
      <c r="AN2" s="169" t="str">
        <f>VLOOKUP(Start!$H$20,Header_Data!$A3:$GZ32,41,FALSE)</f>
        <v>19.1. Folgende Sprachen sind in der Gebrauchsanweisung enthalten:</v>
      </c>
      <c r="AO2" s="170" t="str">
        <f>VLOOKUP(Start!$H$20,Header_Data!$A3:$GZ32,42,FALSE)</f>
        <v>20. Hat der Artikel hat eine Beschränkung in den Lager- und Transporttemperaturen?</v>
      </c>
      <c r="AP2" s="172" t="str">
        <f>VLOOKUP(Start!$H$20,Header_Data!$A3:$GZ32,43,FALSE)</f>
        <v>20.1. Lagertemperatur</v>
      </c>
      <c r="AQ2" s="173"/>
      <c r="AR2" s="172" t="str">
        <f>VLOOKUP(Start!$H$20,Header_Data!$A3:$GZ32,45,FALSE)</f>
        <v>20.2. Transporttemperatur</v>
      </c>
      <c r="AS2" s="173"/>
      <c r="AT2" s="169" t="str">
        <f>VLOOKUP(Start!$H$20,Header_Data!$A3:$GZ32,47,FALSE)</f>
        <v>20.3. Maximal zulässige Dauer der Transporttemperatur</v>
      </c>
      <c r="AU2" s="169" t="str">
        <f>VLOOKUP(Start!$H$20,Header_Data!$A3:$GZ32,48,FALSE)</f>
        <v>20.4. Artikel ist frostempfindlich</v>
      </c>
      <c r="AV2" s="170" t="str">
        <f>VLOOKUP([1]Start!$H$20,[1]Header_Data!$A3:$GZ32,49,FALSE)</f>
        <v>21. Ist der Artikel ein Arzneimittel?</v>
      </c>
      <c r="AW2" s="169" t="str">
        <f>VLOOKUP([1]Start!$H$20,[1]Header_Data!$A3:$GZ32,50,FALSE)</f>
        <v xml:space="preserve">21.1. Artikel ist ein Betäubungsmittel? </v>
      </c>
      <c r="AX2" s="169" t="str">
        <f>VLOOKUP([1]Start!$H$20,[1]Header_Data!$A3:$GZ32,51,FALSE)</f>
        <v>21.2. Artikel ist ein Fertigarzneimittel?</v>
      </c>
      <c r="AY2" s="169" t="str">
        <f>VLOOKUP([1]Start!$H$20,[1]Header_Data!$A3:$GZ32,52,FALSE)</f>
        <v>21.3. Artikel dient zum Ersatz oder zur Korrektur von Körperflüssigkeiten?</v>
      </c>
      <c r="AZ2" s="169" t="str">
        <f>VLOOKUP([1]Start!$H$20,[1]Header_Data!$A3:$GZ32,53,FALSE)</f>
        <v>21.4. Artikel ist nur zur Anwendung in der Zahnheilkunde?</v>
      </c>
      <c r="BA2" s="169" t="str">
        <f>VLOOKUP([1]Start!$H$20,[1]Header_Data!$A3:$GZ32,54,FALSE)</f>
        <v>21.5. Artikel ist apothekenpflichtig?</v>
      </c>
      <c r="BB2" s="169" t="str">
        <f>VLOOKUP([1]Start!$H$20,[1]Header_Data!$A3:$GZ32,55,FALSE)</f>
        <v>21.6. Artikel ist verschreibungs- pflichtig?</v>
      </c>
      <c r="BC2" s="169" t="str">
        <f>VLOOKUP([1]Start!$H$20,[1]Header_Data!$A3:$GZ32,56,FALSE)</f>
        <v>21.7. Artikel ist freiverkäuflich?</v>
      </c>
      <c r="BD2" s="169" t="str">
        <f>VLOOKUP([1]Start!$H$20,[1]Header_Data!$A3:$GZ32,57,FALSE)</f>
        <v>21.8. Produkt unterliegt dem GKV-WSG vom 01.04.2007?
(Gesetz zur Stärkung des Wettbewerbs in der gesetzlichen Krankenversicherung)</v>
      </c>
      <c r="BE2" s="169" t="str">
        <f>VLOOKUP([1]Start!$H$20,[1]Header_Data!$A3:$GZ32,58,FALSE)</f>
        <v>21.9. Vertrieb nur an Personen mit humanmedizinischer Grundausbildung?</v>
      </c>
      <c r="BF2" s="169" t="str">
        <f>VLOOKUP([1]Start!$H$20,[1]Header_Data!$A3:$GZ32,59,FALSE)</f>
        <v>21.10. Arzneimittel ist für folgende Länder zugelassen:</v>
      </c>
      <c r="BG2" s="169" t="str">
        <f>VLOOKUP([1]Start!$H$20,[1]Header_Data!$A3:$GZ32,60,FALSE)</f>
        <v xml:space="preserve">21.11. Zulassungsnummer des Arzneimittels </v>
      </c>
      <c r="BH2" s="170" t="str">
        <f>VLOOKUP(Start!$H$20,Header_Data!$A3:$GZ32,61,FALSE)</f>
        <v>22. Artikel ist ein Medizinprodukt?</v>
      </c>
      <c r="BI2" s="169" t="str">
        <f>VLOOKUP(Start!$H$20,Header_Data!$A3:$GZ32,62,FALSE)</f>
        <v xml:space="preserve">22.1. Klasse des Medizinproduktes </v>
      </c>
      <c r="BJ2" s="169" t="str">
        <f>VLOOKUP(Start!$H$20,Header_Data!$A3:$GZ32,63,FALSE)</f>
        <v>22.2. Produkt fällt unter die MPAV?
(Medizinprodukte-Abgabeverordnung)</v>
      </c>
      <c r="BK2" s="169" t="str">
        <f>VLOOKUP(Start!$H$20,Header_Data!$A3:$GZ32,64,FALSE)</f>
        <v>22.3. Produkt ist Verbrauchsmaterial als Sprechstundenbedarf? 
(nur Fluoridierungsprodukte)</v>
      </c>
      <c r="BL2" s="170" t="str">
        <f>VLOOKUP([1]Start!$H$20,[1]Header_Data!$A3:$GZ32,65,FALSE)</f>
        <v>23. Artikel ist ein Ersatzteil?</v>
      </c>
      <c r="BM2" s="169" t="str">
        <f>VLOOKUP([1]Start!$H$20,[1]Header_Data!$A3:$GZ32,66,FALSE)</f>
        <v xml:space="preserve">23.1. Rücksendepflichtiger Reparatur-Austausch ? </v>
      </c>
      <c r="BN2" s="170" t="str">
        <f>VLOOKUP(Start!$H$20,Header_Data!$A3:$GZ32,67,FALSE)</f>
        <v>24. Artikel ist ein Biozid?</v>
      </c>
      <c r="BO2" s="169" t="str">
        <f>VLOOKUP(Start!$H$20,Header_Data!$A3:$GZ32,68,FALSE)</f>
        <v>24.1 BAUA-Registriernummer
(Bundesanstalt für Arbeitsschutz und Arbeitsmedizin)</v>
      </c>
      <c r="BP2" s="170" t="str">
        <f>VLOOKUP([1]Start!$H$20,[1]Header_Data!$A3:$GZ32,69,FALSE)</f>
        <v>25. Artikel ist ein Lebensmittel?</v>
      </c>
      <c r="BQ2" s="170" t="str">
        <f>VLOOKUP([1]Start!$H$20,[1]Header_Data!$A3:$GZ32,70,FALSE)</f>
        <v>26. Artikel ist ein Kosmetikprodukt?</v>
      </c>
      <c r="BR2" s="170" t="str">
        <f>VLOOKUP(Start!$H$20,Header_Data!$A3:$GZ32,71,FALSE)</f>
        <v>27. VOC-Gehalt angeben
(Flüchtige Organische Verbindungen)</v>
      </c>
      <c r="BS2" s="170" t="str">
        <f>VLOOKUP(Start!$H$20,Header_Data!$A3:$GZ32,72,FALSE)</f>
        <v>28. Sicherheitsdatenblatt (SDB) vorhanden?</v>
      </c>
      <c r="BT2" s="169" t="str">
        <f>VLOOKUP(Start!$H$20,Header_Data!$A3:$GZ32,73,FALSE)</f>
        <v xml:space="preserve">28.1. Aktuelles Überarbeitungsdatum des Sicherheitsdatenblattes </v>
      </c>
      <c r="BU2" s="169" t="str">
        <f>VLOOKUP(Start!$H$20,Header_Data!$A3:$GZ32,74,FALSE)</f>
        <v>28.2. Artikel fällt unter die Chemikalien- Verbotsverordnung (ChemVerbotsV)?</v>
      </c>
      <c r="BV2" s="170" t="str">
        <f>VLOOKUP(Start!$H$20,Header_Data!$A3:$GZ32,75,FALSE)</f>
        <v xml:space="preserve">29. Artikel ist ein Gefahrgut? </v>
      </c>
      <c r="BW2" s="169" t="str">
        <f>VLOOKUP(Start!$H$20,Header_Data!$A3:$GZ32,76,FALSE)</f>
        <v>29.1. Artikel fällt unter Limited Quantity (LQ, Begrenzte Menge)</v>
      </c>
      <c r="BX2" s="169" t="str">
        <f>VLOOKUP(Start!$H$20,Header_Data!$A3:$GZ32,77,FALSE)</f>
        <v>29.2. Gefahrgutklasse nach ADR</v>
      </c>
      <c r="BY2" s="169" t="str">
        <f>VLOOKUP(Start!$H$20,Header_Data!$A3:$GZ32,78,FALSE)</f>
        <v>29.3. Benennung und Beschreibung lt. ADR-Tabelle</v>
      </c>
      <c r="BZ2" s="169" t="str">
        <f>VLOOKUP(Start!$H$20,Header_Data!$A3:$GZ32,79,FALSE)</f>
        <v xml:space="preserve">29.4. UN-Nummer </v>
      </c>
      <c r="CA2" s="169" t="str">
        <f>VLOOKUP(Start!$H$20,Header_Data!$A3:$GZ32,80,FALSE)</f>
        <v>29.5. Nummer zur Kennzeichnung der Gefahr</v>
      </c>
      <c r="CB2" s="169" t="str">
        <f>VLOOKUP(Start!$H$20,Header_Data!$A3:$GZ32,81,FALSE)</f>
        <v>29.6. Beförderungs- kategorie</v>
      </c>
      <c r="CC2" s="169" t="str">
        <f>VLOOKUP(Start!$H$20,Header_Data!$A3:$GZ32,82,FALSE)</f>
        <v>29.7. Verpackungs- gruppe</v>
      </c>
      <c r="CD2" s="169" t="str">
        <f>VLOOKUP(Start!$H$20,Header_Data!$A3:$GZ32,83,FALSE)</f>
        <v>29.8. Abfallschlüssel (für Produkt)</v>
      </c>
      <c r="CE2" s="169" t="str">
        <f>VLOOKUP(Start!$H$20,Header_Data!$A3:$GZ32,84,FALSE)</f>
        <v>29.9. Lagerklasse</v>
      </c>
      <c r="CF2" s="169" t="str">
        <f>VLOOKUP(Start!$H$20,Header_Data!$A3:$GZ32,85,FALSE)</f>
        <v>29.10. Klassifizierungscode</v>
      </c>
      <c r="CG2" s="169" t="str">
        <f>VLOOKUP(Start!$H$20,Header_Data!$A3:$GZ32,86,FALSE)</f>
        <v>29.11. Tunnelbeschränkungs- code</v>
      </c>
      <c r="CH2" s="169" t="str">
        <f>VLOOKUP(Start!$H$20,Header_Data!$A3:$GZ32,87,FALSE)</f>
        <v>29.12. Gefahrzettel</v>
      </c>
      <c r="CI2" s="169" t="str">
        <f>VLOOKUP(Start!$H$20,Header_Data!$A3:$GZ32,88,FALSE)</f>
        <v>29.13. Inhalt pro Innenverpackung</v>
      </c>
      <c r="CJ2" s="169" t="str">
        <f>VLOOKUP(Start!$H$20,Header_Data!$A3:$GZ32,89,FALSE)</f>
        <v>29.14. Verpackungsart</v>
      </c>
      <c r="CK2" s="169" t="str">
        <f>VLOOKUP(Start!$H$20,Header_Data!$A3:$GZ32,90,FALSE)</f>
        <v>29.15. Umwelt- gefährdung</v>
      </c>
      <c r="CL2" s="169" t="str">
        <f>VLOOKUP(Start!$H$20,Header_Data!$A3:$GZ32,91,FALSE)</f>
        <v>29.16. Wassergefährdungsklasse (WGK) in DE</v>
      </c>
      <c r="CM2" s="169" t="str">
        <f>VLOOKUP(Start!$H$20,Header_Data!$A3:$GZ32,92,FALSE)</f>
        <v>29.17. Produkt enthält per- oder teilfluorierte Kohlenwasserstoffe (FKW und HFKW)</v>
      </c>
      <c r="CN2" s="170" t="str">
        <f>VLOOKUP(Start!$H$20,Header_Data!$A3:$GZ32,93,FALSE)</f>
        <v>30. Verpackung hat eine von außen deutlich erkennbare Chargenkennzeichnung/LOT?</v>
      </c>
      <c r="CO2" s="170" t="str">
        <f>VLOOKUP(Start!$H$20,Header_Data!$A3:$GZ32,94,FALSE)</f>
        <v>31. Artikel hat eine Verfallszeit?</v>
      </c>
      <c r="CP2" s="169" t="str">
        <f>VLOOKUP(Start!$H$20,Header_Data!$A3:$GZ32,95,FALSE)</f>
        <v>31.1. Verpackung hat ein von außen deutlich erkennbares Verfalldatum?</v>
      </c>
      <c r="CQ2" s="169" t="str">
        <f>VLOOKUP(Start!$H$20,Header_Data!$A3:$GZ32,96,FALSE)</f>
        <v>31.2. Verwendungszeit nach Anbruch auf der Verpackung angedruckt?</v>
      </c>
      <c r="CR2" s="169" t="str">
        <f>VLOOKUP(Start!$H$20,Header_Data!$A3:$GZ32,97,FALSE)</f>
        <v>31.3. Verpackung hat ein von außen deutlich erkennbares Herstelldatum?</v>
      </c>
      <c r="CS2" s="170" t="str">
        <f>VLOOKUP(Start!$H$20,Header_Data!$A3:$GZ32,98,FALSE)</f>
        <v>32. Artikel ist ein Gerät?</v>
      </c>
      <c r="CT2" s="174" t="str">
        <f>VLOOKUP(Start!$H$20,Header_Data!$A3:$GZ32,99,FALSE)</f>
        <v>32.1. Exakte Maße des Gerätes (ohne Umverpackung)</v>
      </c>
      <c r="CU2" s="175"/>
      <c r="CV2" s="176"/>
      <c r="CW2" s="169" t="str">
        <f>VLOOKUP(Start!$H$20,Header_Data!$A3:$GZ32,102,FALSE)</f>
        <v>32.2. Fassungsvermögen des Gerätes?</v>
      </c>
      <c r="CX2" s="169" t="str">
        <f>VLOOKUP(Start!$H$20,Header_Data!$A3:$GZ32,103,FALSE)</f>
        <v>32.3. Anwendungs-temperatur?</v>
      </c>
      <c r="CY2" s="169" t="str">
        <f>VLOOKUP(Start!$H$20,Header_Data!$A3:$GZ32,104,FALSE)</f>
        <v>32.4. Leistung?</v>
      </c>
      <c r="CZ2" s="169" t="str">
        <f>VLOOKUP(Start!$H$20,Header_Data!$A3:$GZ32,105,FALSE)</f>
        <v>32.5. Techniker ist zur Installation notwendig?</v>
      </c>
      <c r="DA2" s="177"/>
      <c r="DB2" s="169" t="str">
        <f>VLOOKUP(Start!$H$20,Header_Data!$A3:$GZ32,107,FALSE)</f>
        <v>32.6.1. Anzahl der angedruckten Serialnummern
(Z. B. in einem Set)?</v>
      </c>
      <c r="DC2" s="177" t="s">
        <v>38</v>
      </c>
      <c r="DD2" s="169" t="str">
        <f>VLOOKUP(Start!$H$20,Header_Data!$A3:$GZ32,109,FALSE)</f>
        <v>32.7.1. Artikel ist in Europa nach ElektroG (WEEE) registriert?</v>
      </c>
      <c r="DE2" s="169" t="str">
        <f>VLOOKUP(Start!$H$20,Header_Data!$A3:$GZ32,110,FALSE)</f>
        <v>32.7.2. Artikel ist registrierungspflichtig nach ElektroG (WEEE)?</v>
      </c>
      <c r="DF2" s="177"/>
      <c r="DG2" s="169" t="str">
        <f>VLOOKUP(Start!$H$20,Header_Data!$A3:$GZ32,112,FALSE)</f>
        <v>32.8.1. Artikel ist in Deutschland nach dem BattG registriert?</v>
      </c>
      <c r="DH2" s="169" t="str">
        <f>VLOOKUP(Start!$H$20,Header_Data!$A3:$GZ32,113,FALSE)</f>
        <v>32.8.2. Batterie-/Akkutyp:</v>
      </c>
      <c r="DI2" s="169" t="str">
        <f>VLOOKUP(Start!$H$20,Header_Data!$A3:$GZ32,114,FALSE)</f>
        <v>32.8.3. Anzahl der Batterien/ Akkus:</v>
      </c>
      <c r="DJ2" s="169" t="str">
        <f>VLOOKUP(Start!$H$20,Header_Data!$A3:$GZ32,115,FALSE)</f>
        <v>32.8.4. Batterien/ Akkus sind fest verbaut?</v>
      </c>
      <c r="DK2" s="170" t="str">
        <f>VLOOKUP(Start!$H$20,Header_Data!$A3:$GZ32,116,FALSE)</f>
        <v>33. Artikel hat Garantie oder Gewährleistung?</v>
      </c>
      <c r="DL2" s="169" t="str">
        <f>VLOOKUP(Start!$H$20,Header_Data!$A3:$GZ32,117,FALSE)</f>
        <v>33.1. Gewährleistungsdauer nach Lieferung an Handel:</v>
      </c>
      <c r="DM2" s="169" t="str">
        <f>VLOOKUP(Start!$H$20,Header_Data!$A3:$GZ32,118,FALSE)</f>
        <v>33.2. Gewährleistungsdauer nach Lieferung an unseren Kunden:</v>
      </c>
      <c r="DN2" s="169" t="str">
        <f>VLOOKUP(Start!$H$20,Header_Data!$A3:$GZ32,119,FALSE)</f>
        <v>33.3. Garantiedauer ab Lieferung an den Handel</v>
      </c>
      <c r="DO2" s="169" t="str">
        <f>VLOOKUP(Start!$H$20,Header_Data!$A3:$GZ32,120,FALSE)</f>
        <v>33.4. Garantiedauer nach Lieferung an unseren Kunden</v>
      </c>
      <c r="DP2" s="170" t="str">
        <f>VLOOKUP(Start!$H$20,Header_Data!$A3:$GZ32,121,FALSE)</f>
        <v>34. Verkaufsverpackung ist durch ein Duales System in Deutschland lizensiert?</v>
      </c>
      <c r="DQ2" s="178" t="str">
        <f>VLOOKUP(Start!$H$20,Header_Data!$A3:$GZ32,122,FALSE)</f>
        <v xml:space="preserve">34.1. Verpackungsgewicht der restentleerten Produktverpackung (Primärverpackung) </v>
      </c>
      <c r="DR2" s="179"/>
      <c r="DS2" s="179"/>
      <c r="DT2" s="179"/>
      <c r="DU2" s="179"/>
      <c r="DV2" s="180"/>
      <c r="DW2" s="169" t="str">
        <f>VLOOKUP(Start!$H$20,Header_Data!$A3:$GZ32,128,FALSE)</f>
        <v>34.2. restentleerte Produktverpackung darf über ein Duales System entsorgt werden?</v>
      </c>
      <c r="DX2" s="178" t="str">
        <f>VLOOKUP(Start!$H$20,Header_Data!$A3:$GZ32,129,FALSE)</f>
        <v>34.3. Verpackungsgewicht der Einzelverpackung (Sekundärverpackung)</v>
      </c>
      <c r="DY2" s="179"/>
      <c r="DZ2" s="179"/>
      <c r="EA2" s="179"/>
      <c r="EB2" s="179"/>
      <c r="EC2" s="180"/>
      <c r="ED2" s="169" t="str">
        <f>VLOOKUP(Start!$H$20,Header_Data!$A3:$GZ32,135,FALSE)</f>
        <v>34.4. Einzelverpackung darf über ein Duales System entsorgt werden?</v>
      </c>
      <c r="EE2" s="178" t="str">
        <f>VLOOKUP(Start!$H$20,Header_Data!$A3:$GZ32,136,FALSE)</f>
        <v xml:space="preserve">34.5. Verpackungsgewicht der Groß-/Bulkverpackung inkl. Füllmaterial (Tertiärverpackung) </v>
      </c>
      <c r="EF2" s="179"/>
      <c r="EG2" s="179"/>
      <c r="EH2" s="179"/>
      <c r="EI2" s="179"/>
      <c r="EJ2" s="180"/>
      <c r="EK2" s="169" t="str">
        <f>VLOOKUP(Start!$H$20,Header_Data!$A3:$GZ32,142,FALSE)</f>
        <v>34.6. Groß-/Bulkverpackung darf über ein Duales System entsorgt werden ?</v>
      </c>
      <c r="EL2" s="170" t="str">
        <f>VLOOKUP(Start!$H$20,Header_Data!$A3:$GZ32,143,FALSE)</f>
        <v>35. Mindest-bestellmenge</v>
      </c>
      <c r="EM2" s="170" t="str">
        <f>VLOOKUP(Start!$H$20,Header_Data!$A3:$GZ32,144,FALSE)</f>
        <v>36. Inhalt pro Einzelverpackung</v>
      </c>
      <c r="EN2" s="181" t="str">
        <f>VLOOKUP(Start!$H$20,Header_Data!$A3:$GZ32,145,FALSE)</f>
        <v>37. Größe und Gewicht der Einzelverpackung</v>
      </c>
      <c r="EO2" s="182"/>
      <c r="EP2" s="182"/>
      <c r="EQ2" s="182"/>
      <c r="ER2" s="183"/>
      <c r="ES2" s="170" t="str">
        <f>VLOOKUP(Start!$H$20,Header_Data!$A3:$GZ32,150,FALSE)</f>
        <v>38. Artikel hat eine Umverpackung?</v>
      </c>
      <c r="ET2" s="169" t="str">
        <f>VLOOKUP(Start!$H$20,Header_Data!$A3:$GZ32,151,FALSE)</f>
        <v>38.1. Umverpackung darf geöffnet und der Artikel ohne diese versendet werden?</v>
      </c>
      <c r="EU2" s="184" t="str">
        <f>VLOOKUP(Start!$H$20,Header_Data!$A3:$GZ32,152,FALSE)</f>
        <v>38.2. Anzahl der Einzelpackungen pro Umverpackung</v>
      </c>
      <c r="EV2" s="185" t="str">
        <f>VLOOKUP(Start!$H$20,Header_Data!$A3:$GZ32,153,FALSE)</f>
        <v>38.3. Größe und Gewicht der Umverpackung inkl. der Einzelpackungen</v>
      </c>
      <c r="EW2" s="186"/>
      <c r="EX2" s="186"/>
      <c r="EY2" s="186"/>
      <c r="EZ2" s="187"/>
      <c r="FA2" s="170" t="str">
        <f>VLOOKUP(Start!$H$20,Header_Data!$A3:$GZ32,158,FALSE)</f>
        <v>39. Gibt es Konfektionierungs-hinweise zu beachten?</v>
      </c>
      <c r="FB2" s="184" t="str">
        <f>VLOOKUP(Start!$H$20,Header_Data!$A3:$GZ32,159,FALSE)</f>
        <v>39.1. Konfektionierungs-hinweise aufführen</v>
      </c>
      <c r="FC2" s="184" t="str">
        <f>VLOOKUP(Start!$H$20,Header_Data!$A3:$GZ32,160,FALSE)</f>
        <v>39.2. Anzahl Artikel pro Palette</v>
      </c>
      <c r="FD2" s="184" t="str">
        <f>VLOOKUP(Start!$H$20,Header_Data!$A3:$GZ32,161,FALSE)</f>
        <v>39.3. Palettenhöhe</v>
      </c>
      <c r="FE2" s="170" t="str">
        <f>VLOOKUP(Start!$H$20,Header_Data!$A3:$GZ32,162,FALSE)</f>
        <v>40. Zolltarif-Nr. / Warentarifnr.
(8-11-stellig)</v>
      </c>
      <c r="FF2" s="170" t="str">
        <f>VLOOKUP(Start!$H$20,Header_Data!$A3:$GZ32,163,FALSE)</f>
        <v>41. Dual-Use-Artikel?
(Nach EG-Dual-Use Verordnung)</v>
      </c>
      <c r="FG2" s="170" t="str">
        <f>VLOOKUP(Start!$H$20,Header_Data!$A3:$GZ32,164,FALSE)</f>
        <v>42. Ursprungsland</v>
      </c>
      <c r="FH2" s="170" t="str">
        <f>VLOOKUP(Start!$H$20,Header_Data!$A3:$GZ32,165,FALSE)</f>
        <v>43. Ursprungs-bundesland/-provinz (falls zutreffend)</v>
      </c>
      <c r="FI2" s="170" t="str">
        <f>VLOOKUP(Start!$H$20,Header_Data!$A3:$GZ32,166,FALSE)</f>
        <v>44. Artikel mit Präferenzursprungs-eigenschaft? (nur anwendbar innerhalb EU)</v>
      </c>
      <c r="FJ2" s="184" t="str">
        <f>VLOOKUP(Start!$H$20,Header_Data!$A3:$GZ32,167,FALSE)</f>
        <v>45. Unverbindliche Preisempfehlung</v>
      </c>
      <c r="FK2" s="184" t="str">
        <f>VLOOKUP(Start!$H$20,Header_Data!$A3:$GZ32,168,FALSE)</f>
        <v>45.1. Rabattgruppe (Zahn, Material, ...)</v>
      </c>
      <c r="FL2" s="170" t="str">
        <f>VLOOKUP(Start!$H$20,Header_Data!$A3:$GZ32,169,FALSE)</f>
        <v>46. Mehrwertsteuersatz für DE (voll oder verringert)</v>
      </c>
      <c r="FM2" s="170" t="str">
        <f>VLOOKUP(Start!$H$20,Header_Data!$A3:$GZ32,170,FALSE)</f>
        <v>47. Besonderheiten und sonstige weitere Informationen zum Artikel aufführen bzw. anhängen</v>
      </c>
      <c r="FN2" s="188" t="str">
        <f>VLOOKUP(Start!$H$20,Header_Data!$A3:$GZ32,171,FALSE)</f>
        <v>47.1. Dateiname des Sicherheitsdatenblattes
(SD)</v>
      </c>
      <c r="FO2" s="188" t="str">
        <f>VLOOKUP(Start!$H$20,Header_Data!$A3:$GZ32,172,FALSE)</f>
        <v>47.2. Dateiname des Bildes 
(BD)</v>
      </c>
      <c r="FP2" s="188" t="str">
        <f>VLOOKUP(Start!$H$20,Header_Data!$A3:$GZ32,173,FALSE)</f>
        <v>47.3. Dateiname der Produktbeschreibung (PB) oder Stückliste (SL)</v>
      </c>
      <c r="FQ2" s="188" t="str">
        <f>VLOOKUP([1]Start!$H$20,[1]Header_Data!$A3:$GZ32,174,FALSE)</f>
        <v>47.4. Dateiname der Arzneimittel-Fachinformation
(AF)</v>
      </c>
      <c r="FR2" s="188" t="str">
        <f>VLOOKUP(Start!$H$20,Header_Data!$A3:$GZ32,175,FALSE)</f>
        <v>47.5. Dateiname der Konformitätserklärung für Medizinprodukte 
(KM)</v>
      </c>
      <c r="FS2" s="170" t="str">
        <f>VLOOKUP(Start!$H$20,Header_Data!$A3:$GZ32,176,FALSE)</f>
        <v>48. Exklusivartikel</v>
      </c>
      <c r="FT2" s="184" t="str">
        <f>VLOOKUP(Start!$H$20,Header_Data!$A3:$GZ32,177,FALSE)</f>
        <v>48.1. Exklusivartikel 
(berechtigte Händler)</v>
      </c>
      <c r="FU2" s="170" t="str">
        <f>VLOOKUP(Start!$H$20,Header_Data!$A3:$GZ32,178,FALSE)</f>
        <v>49. Artikel unterliegt der Verordnung (EU) 2016/425 über Persönliche Schutzausrüstung?</v>
      </c>
      <c r="FV2" s="184" t="str">
        <f>VLOOKUP(Start!$H$20,Header_Data!$A3:$GZ32,179,FALSE)</f>
        <v xml:space="preserve">49.1. Kategorie der Persönlichen Schutzausrüstung </v>
      </c>
      <c r="FW2" s="170" t="str">
        <f>VLOOKUP(Start!$H$20,Header_Data!$A3:$GZ32,180,FALSE)</f>
        <v>50. Ist Artikel ein Set?</v>
      </c>
      <c r="FX2" s="184" t="s">
        <v>691</v>
      </c>
      <c r="FY2" s="184" t="str">
        <f>VLOOKUP(Start!$H$20,Header_Data!$A3:$GZ32,181,FALSE)</f>
        <v>22.4. MDR oder MDD Zulassung?</v>
      </c>
      <c r="FZ2" s="184" t="str">
        <f>VLOOKUP(Start!$H$20,Header_Data!$A3:$GZ32,182,FALSE)</f>
        <v>22.5. Basis UDI-DI</v>
      </c>
      <c r="GA2" s="184" t="str">
        <f>VLOOKUP(Start!$H$20,Header_Data!$A3:$GZ32,183,FALSE)</f>
        <v>22.6. benannte Stelle</v>
      </c>
      <c r="GB2" s="184" t="str">
        <f>VLOOKUP(Start!$H$20,Header_Data!$A3:$GZ32,184,FALSE)</f>
        <v>22.7. Gültigkeit der Konformitätserklärung bis…</v>
      </c>
      <c r="GC2" s="184" t="str">
        <f>VLOOKUP(Start!$H$20,Header_Data!$A3:$GZ32,185,FALSE)</f>
        <v>22.8 Einweisungspflichtig</v>
      </c>
      <c r="GD2" s="170" t="str">
        <f>VLOOKUP(Start!$H$20,Header_Data!$A3:$GZ32,186,FALSE)</f>
        <v>12.1. UKCA (CE-Kennzeichen für Großbritannien)</v>
      </c>
    </row>
    <row r="3" spans="1:186" s="189" customFormat="1" ht="86.4" customHeight="1" x14ac:dyDescent="0.3">
      <c r="A3" s="190"/>
      <c r="B3" s="191" t="str">
        <f>VLOOKUP(Start!$H$21,Header_Data!$A3:$GZ32,3,FALSE)</f>
        <v>2.1. Name</v>
      </c>
      <c r="C3" s="191" t="str">
        <f>VLOOKUP(Start!$H$21,Header_Data!$A3:$GZ32,4,FALSE)</f>
        <v>2.2. Telefonnummer</v>
      </c>
      <c r="D3" s="191" t="str">
        <f>VLOOKUP(Start!$H$21,Header_Data!$A3:$GZ32,5,FALSE)</f>
        <v>2.3. Email-Adresse</v>
      </c>
      <c r="E3" s="192"/>
      <c r="F3" s="192"/>
      <c r="G3" s="193"/>
      <c r="H3" s="193"/>
      <c r="I3" s="193"/>
      <c r="J3" s="193"/>
      <c r="K3" s="192"/>
      <c r="L3" s="193"/>
      <c r="M3" s="193"/>
      <c r="N3" s="192"/>
      <c r="O3" s="192"/>
      <c r="P3" s="192"/>
      <c r="Q3" s="192"/>
      <c r="R3" s="192"/>
      <c r="S3" s="192"/>
      <c r="T3" s="192"/>
      <c r="U3" s="192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2"/>
      <c r="AG3" s="193"/>
      <c r="AH3" s="192"/>
      <c r="AI3" s="192"/>
      <c r="AJ3" s="192"/>
      <c r="AK3" s="192"/>
      <c r="AL3" s="193"/>
      <c r="AM3" s="192"/>
      <c r="AN3" s="193"/>
      <c r="AO3" s="192"/>
      <c r="AP3" s="194" t="str">
        <f>VLOOKUP(Start!$H$21,Header_Data!$A3:$GZ32,43,FALSE)</f>
        <v xml:space="preserve">20.1.1.
Min. </v>
      </c>
      <c r="AQ3" s="194" t="str">
        <f>VLOOKUP(Start!$H$21,Header_Data!$A3:$GZ32,44,FALSE)</f>
        <v xml:space="preserve">20.1.2.
Max. </v>
      </c>
      <c r="AR3" s="194" t="str">
        <f>VLOOKUP(Start!$H$21,Header_Data!$A3:$GZ32,45,FALSE)</f>
        <v xml:space="preserve">20.2.1.
Min. </v>
      </c>
      <c r="AS3" s="194" t="str">
        <f>VLOOKUP(Start!$H$21,Header_Data!$A3:$GZ32,46,FALSE)</f>
        <v xml:space="preserve">20.2.2.
Max. </v>
      </c>
      <c r="AT3" s="193"/>
      <c r="AU3" s="193"/>
      <c r="AV3" s="192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2"/>
      <c r="BI3" s="193"/>
      <c r="BJ3" s="193"/>
      <c r="BK3" s="193"/>
      <c r="BL3" s="192"/>
      <c r="BM3" s="193"/>
      <c r="BN3" s="192"/>
      <c r="BO3" s="193"/>
      <c r="BP3" s="192"/>
      <c r="BQ3" s="192"/>
      <c r="BR3" s="192"/>
      <c r="BS3" s="192"/>
      <c r="BT3" s="193"/>
      <c r="BU3" s="193"/>
      <c r="BV3" s="192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2"/>
      <c r="CO3" s="192"/>
      <c r="CP3" s="193"/>
      <c r="CQ3" s="193"/>
      <c r="CR3" s="193"/>
      <c r="CS3" s="192"/>
      <c r="CT3" s="195" t="str">
        <f>VLOOKUP(Start!$H$21,Header_Data!$A3:$GZ32,99,FALSE)</f>
        <v>32.1.1. Länge</v>
      </c>
      <c r="CU3" s="195" t="str">
        <f>VLOOKUP(Start!$H$21,Header_Data!$A3:$GZ32,100,FALSE)</f>
        <v>32.1.2. Breite</v>
      </c>
      <c r="CV3" s="195" t="str">
        <f>VLOOKUP(Start!$H$21,Header_Data!$A3:$GZ32,100,FALSE)</f>
        <v>32.1.2. Breite</v>
      </c>
      <c r="CW3" s="193"/>
      <c r="CX3" s="193"/>
      <c r="CY3" s="193"/>
      <c r="CZ3" s="193"/>
      <c r="DA3" s="191" t="str">
        <f>VLOOKUP(Start!$H$21,Header_Data!$A3:$GZ32,106,FALSE)</f>
        <v>32.6. Geräteserialnummer vorhanden?</v>
      </c>
      <c r="DB3" s="193"/>
      <c r="DC3" s="191" t="str">
        <f>VLOOKUP(Start!$H$21,Header_Data!$A3:$GZ32,108,FALSE)</f>
        <v xml:space="preserve">32.7. Ist der Artikel strombetrieben? </v>
      </c>
      <c r="DD3" s="193"/>
      <c r="DE3" s="193"/>
      <c r="DF3" s="191" t="str">
        <f>VLOOKUP(Start!$H$21,Header_Data!$A3:$GZ32,111,FALSE)</f>
        <v>32.8. Artikel enthält Batterien/Akkus?</v>
      </c>
      <c r="DG3" s="193"/>
      <c r="DH3" s="193"/>
      <c r="DI3" s="193"/>
      <c r="DJ3" s="193"/>
      <c r="DK3" s="192"/>
      <c r="DL3" s="193"/>
      <c r="DM3" s="193"/>
      <c r="DN3" s="193"/>
      <c r="DO3" s="193"/>
      <c r="DP3" s="192"/>
      <c r="DQ3" s="196" t="str">
        <f>VLOOKUP(Start!$H$21,Header_Data!$A3:$GZ32,122,FALSE)</f>
        <v>34.1.1. Kunststoff</v>
      </c>
      <c r="DR3" s="196" t="str">
        <f>VLOOKUP(Start!$H$21,Header_Data!$A3:$GZ32,123,FALSE)</f>
        <v>34.1.2. PPK</v>
      </c>
      <c r="DS3" s="196" t="str">
        <f>VLOOKUP(Start!$H$21,Header_Data!$A3:$GZ32,124,FALSE)</f>
        <v>34.1.3. Sonstige Verbunde</v>
      </c>
      <c r="DT3" s="196" t="str">
        <f>VLOOKUP(Start!$H$21,Header_Data!$A3:$GZ32,125,FALSE)</f>
        <v>34.1.4. Glas</v>
      </c>
      <c r="DU3" s="196" t="str">
        <f>VLOOKUP(Start!$H$21,Header_Data!$A3:$GZ32,126,FALSE)</f>
        <v>34.1.5. Aluminium</v>
      </c>
      <c r="DV3" s="196" t="str">
        <f>VLOOKUP(Start!$H$21,Header_Data!$A3:$GZ32,127,FALSE)</f>
        <v>34.1.6. Eisenmetalle</v>
      </c>
      <c r="DW3" s="193"/>
      <c r="DX3" s="196" t="str">
        <f>VLOOKUP(Start!$H$21,Header_Data!$A3:$GZ32,129,FALSE)</f>
        <v>34.3.1. Kunststoff</v>
      </c>
      <c r="DY3" s="196" t="str">
        <f>VLOOKUP(Start!$H$21,Header_Data!$A3:$GZ32,130,FALSE)</f>
        <v>34.3.2. PPK</v>
      </c>
      <c r="DZ3" s="196" t="str">
        <f>VLOOKUP(Start!$H$21,Header_Data!$A3:$GZ32,131,FALSE)</f>
        <v>34.3.3. Sonstige Verbunde</v>
      </c>
      <c r="EA3" s="196" t="str">
        <f>VLOOKUP(Start!$H$21,Header_Data!$A3:$GZ32,132,FALSE)</f>
        <v>34.3.4. Glas</v>
      </c>
      <c r="EB3" s="196" t="str">
        <f>VLOOKUP(Start!$H$21,Header_Data!$A3:$GZ32,133,FALSE)</f>
        <v>34.3.5. Aluminium</v>
      </c>
      <c r="EC3" s="196" t="str">
        <f>VLOOKUP(Start!$H$21,Header_Data!$A3:$GZ32,134,FALSE)</f>
        <v>34.3.6. Eisenmetalle</v>
      </c>
      <c r="ED3" s="193"/>
      <c r="EE3" s="196" t="str">
        <f>VLOOKUP(Start!$H$21,Header_Data!$A3:$GZ32,136,FALSE)</f>
        <v>34.5.1. Kunststoff</v>
      </c>
      <c r="EF3" s="196" t="str">
        <f>VLOOKUP(Start!$H$21,Header_Data!$A3:$GZ32,137,FALSE)</f>
        <v>34.5.2. PPK</v>
      </c>
      <c r="EG3" s="196" t="str">
        <f>VLOOKUP(Start!$H$21,Header_Data!$A3:$GZ32,138,FALSE)</f>
        <v>34.5.3. Sonstige Verbunde</v>
      </c>
      <c r="EH3" s="196" t="str">
        <f>VLOOKUP(Start!$H$21,Header_Data!$A3:$GZ32,139,FALSE)</f>
        <v>34.5.4. Glas</v>
      </c>
      <c r="EI3" s="196" t="str">
        <f>VLOOKUP(Start!$H$21,Header_Data!$A3:$GZ32,140,FALSE)</f>
        <v>34.5.5. Aluminium</v>
      </c>
      <c r="EJ3" s="196" t="str">
        <f>VLOOKUP(Start!$H$21,Header_Data!$A3:$GZ32,141,FALSE)</f>
        <v>34.5.6. Eisenmetalle</v>
      </c>
      <c r="EK3" s="193"/>
      <c r="EL3" s="192"/>
      <c r="EM3" s="192"/>
      <c r="EN3" s="191" t="str">
        <f>VLOOKUP(Start!$H$21,Header_Data!$A3:$GZ32,145,FALSE)</f>
        <v xml:space="preserve">37.1. Länge </v>
      </c>
      <c r="EO3" s="191" t="str">
        <f>VLOOKUP(Start!$H$21,Header_Data!$A3:$GZ32,146,FALSE)</f>
        <v xml:space="preserve">37.2. Breite </v>
      </c>
      <c r="EP3" s="191" t="str">
        <f>VLOOKUP(Start!$H$21,Header_Data!$A3:$GZ32,147,FALSE)</f>
        <v>37.3. Höhe</v>
      </c>
      <c r="EQ3" s="191" t="str">
        <f>VLOOKUP(Start!$H$21,Header_Data!$A3:$GZ32,148,FALSE)</f>
        <v xml:space="preserve">37.4. Bruttogewicht </v>
      </c>
      <c r="ER3" s="191" t="str">
        <f>VLOOKUP(Start!$H$21,Header_Data!$A3:$GZ32,149,FALSE)</f>
        <v xml:space="preserve">37.5. Nettogewicht </v>
      </c>
      <c r="ES3" s="192"/>
      <c r="ET3" s="193"/>
      <c r="EU3" s="197"/>
      <c r="EV3" s="198" t="str">
        <f>VLOOKUP(Start!$H$21,Header_Data!$A3:$GZ32,153,FALSE)</f>
        <v>38.3.1. Länge</v>
      </c>
      <c r="EW3" s="198" t="str">
        <f>VLOOKUP(Start!$H$21,Header_Data!$A3:$GZ32,154,FALSE)</f>
        <v>38.3.2. Breite</v>
      </c>
      <c r="EX3" s="198" t="str">
        <f>VLOOKUP(Start!$H$21,Header_Data!$A3:$GZ32,155,FALSE)</f>
        <v>38.3.3. Höhe</v>
      </c>
      <c r="EY3" s="198" t="str">
        <f>VLOOKUP(Start!$H$21,Header_Data!$A3:$GZ32,156,FALSE)</f>
        <v xml:space="preserve">38.3.4. Bruttogewicht </v>
      </c>
      <c r="EZ3" s="198" t="str">
        <f>VLOOKUP(Start!$H$21,Header_Data!$A3:$GZ32,157,FALSE)</f>
        <v xml:space="preserve">38.3.5. Nettogewicht </v>
      </c>
      <c r="FA3" s="192"/>
      <c r="FB3" s="197"/>
      <c r="FC3" s="197"/>
      <c r="FD3" s="197"/>
      <c r="FE3" s="192"/>
      <c r="FF3" s="192"/>
      <c r="FG3" s="192"/>
      <c r="FH3" s="192"/>
      <c r="FI3" s="192"/>
      <c r="FJ3" s="197"/>
      <c r="FK3" s="197"/>
      <c r="FL3" s="192"/>
      <c r="FM3" s="192"/>
      <c r="FN3" s="199"/>
      <c r="FO3" s="199"/>
      <c r="FP3" s="199"/>
      <c r="FQ3" s="199"/>
      <c r="FR3" s="199"/>
      <c r="FS3" s="192"/>
      <c r="FT3" s="197"/>
      <c r="FU3" s="192"/>
      <c r="FV3" s="197"/>
      <c r="FW3" s="192"/>
      <c r="FX3" s="197"/>
      <c r="FY3" s="197"/>
      <c r="FZ3" s="197"/>
      <c r="GA3" s="197"/>
      <c r="GB3" s="197"/>
      <c r="GC3" s="197"/>
      <c r="GD3" s="192"/>
    </row>
    <row r="4" spans="1:186" s="205" customFormat="1" ht="214.95" customHeight="1" outlineLevel="1" x14ac:dyDescent="0.3">
      <c r="A4" s="200" t="str">
        <f>VLOOKUP(Start!$H$22,Header_Data!$A3:$GZ32,2,FALSE)</f>
        <v>!Y</v>
      </c>
      <c r="B4" s="201" t="str">
        <f>VLOOKUP(Start!$H$22,Header_Data!$A3:$GZ32,3,FALSE)</f>
        <v>Textfeld</v>
      </c>
      <c r="C4" s="201" t="str">
        <f>VLOOKUP(Start!$H$22,Header_Data!$A3:$GZ32,4,FALSE)</f>
        <v>Textfeld</v>
      </c>
      <c r="D4" s="201" t="str">
        <f>VLOOKUP(Start!$H$22,Header_Data!$A3:$GZ32,5,FALSE)</f>
        <v>Textfeld</v>
      </c>
      <c r="E4" s="201" t="str">
        <f>VLOOKUP(Start!$H$22,Header_Data!$A3:$GZ32,6,FALSE)</f>
        <v>Datum (tt.mm.jjjj)</v>
      </c>
      <c r="F4" s="201" t="str">
        <f>VLOOKUP(Start!$H$22,Header_Data!$A3:$GZ32,7,FALSE)</f>
        <v xml:space="preserve">N=Neuanlage 
A=Änderung 
Z=nicht mehr lieferbar </v>
      </c>
      <c r="G4" s="201" t="str">
        <f>VLOOKUP(Start!$H$22,Header_Data!$A3:$GZ32,8,FALSE)</f>
        <v>alphanumerisch</v>
      </c>
      <c r="H4" s="201" t="str">
        <f>VLOOKUP(Start!$H$22,Header_Data!$A3:$GZ32,9,FALSE)</f>
        <v>Datum (tt.mm.jjjj)</v>
      </c>
      <c r="I4" s="201" t="str">
        <f>VLOOKUP(Start!$H$22,Header_Data!$A3:$GZ32,10,FALSE)</f>
        <v>Datum (tt.mm.jjjj)</v>
      </c>
      <c r="J4" s="201" t="str">
        <f>VLOOKUP(Start!$H$22,Header_Data!$A3:$GZ32,11,FALSE)</f>
        <v>Beutel, Dose, Eimer, Flasche, Kanister, Karton, Muster, Packung, Rolle, Set, Spender, Spritze, Stück, Tube, Nachfüllpackung, Großpackung …</v>
      </c>
      <c r="K4" s="201" t="str">
        <f>VLOOKUP(Start!$H$22,Header_Data!$A3:$GZ32,12,FALSE)</f>
        <v>(J/N)</v>
      </c>
      <c r="L4" s="201" t="str">
        <f>VLOOKUP(Start!$H$22,Header_Data!$A3:$GZ32,13,FALSE)</f>
        <v>Datum (tt.mm.jjjj)</v>
      </c>
      <c r="M4" s="201" t="str">
        <f>VLOOKUP(Start!$H$22,Header_Data!$A3:$GZ32,14,FALSE)</f>
        <v>alphanumerisch</v>
      </c>
      <c r="N4" s="201" t="str">
        <f>VLOOKUP(Start!$H$22,Header_Data!$A3:$GZ32,15,FALSE)</f>
        <v>Textfeld</v>
      </c>
      <c r="O4" s="201" t="str">
        <f>VLOOKUP(Start!$H$22,Header_Data!$A3:$GZ32,16,FALSE)</f>
        <v>alphanumerisch
Wenn Hersteller = Lieferant, dann exakte Hersteller-Artikelnummer angeben.</v>
      </c>
      <c r="P4" s="201" t="str">
        <f>VLOOKUP(Start!$H$22,Header_Data!$A3:$GZ32,17,FALSE)</f>
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</c>
      <c r="Q4" s="201" t="str">
        <f>VLOOKUP(Start!$H$22,Header_Data!$A3:$GZ32,18,FALSE)</f>
        <v>Textfeld
Bitte ausfüllen, wenn Lieferant und Hersteller nicht identisch sind.</v>
      </c>
      <c r="R4" s="201" t="str">
        <f>VLOOKUP(Start!$H$22,Header_Data!$A3:$GZ32,19,FALSE)</f>
        <v>Textfeld
Bitte ausfüllen, wenn Lieferant und Hersteller nicht identisch sind.</v>
      </c>
      <c r="S4" s="201" t="str">
        <f>VLOOKUP(Start!$H$22,Header_Data!$A3:$GZ32,20,FALSE)</f>
        <v>Länder bitte durch Ländercodes nach ISO 3166 angeben und durch / voneinander trennen.</v>
      </c>
      <c r="T4" s="201" t="str">
        <f>VLOOKUP(Start!$H$22,Header_Data!$A3:$GZ32,21,FALSE)</f>
        <v>(N/i/o</v>
      </c>
      <c r="U4" s="201" t="str">
        <f>VLOOKUP(Start!$H$22,Header_Data!$A3:$GZ32,22,FALSE)</f>
        <v>(J/N)</v>
      </c>
      <c r="V4" s="201" t="str">
        <f>VLOOKUP(Start!$H$22,Header_Data!$A3:$GZ32,23,FALSE)</f>
        <v>numerisch</v>
      </c>
      <c r="W4" s="201" t="str">
        <f>VLOOKUP(Start!$H$22,Header_Data!$A3:$GZ32,24,FALSE)</f>
        <v>numerisch</v>
      </c>
      <c r="X4" s="201" t="str">
        <f>VLOOKUP(Start!$H$22,Header_Data!$A3:$GZ32,25,FALSE)</f>
        <v>numerisch</v>
      </c>
      <c r="Y4" s="201" t="str">
        <f>VLOOKUP(Start!$H$22,Header_Data!$A3:$GZ32,26,FALSE)</f>
        <v>numerisch</v>
      </c>
      <c r="Z4" s="201" t="str">
        <f>VLOOKUP(Start!$H$22,Header_Data!$A3:$GZ32,27,FALSE)</f>
        <v>alphanumerisch</v>
      </c>
      <c r="AA4" s="201" t="str">
        <f>VLOOKUP(Start!$H$22,Header_Data!$A3:$GZ32,28,FALSE)</f>
        <v>alphanumerisch</v>
      </c>
      <c r="AB4" s="201" t="str">
        <f>VLOOKUP(Start!$H$22,Header_Data!$A3:$GZ32,29,FALSE)</f>
        <v>alphanumerisch</v>
      </c>
      <c r="AC4" s="201" t="str">
        <f>VLOOKUP(Start!$H$22,Header_Data!$A3:$GZ32,30,FALSE)</f>
        <v>alphanumerisch</v>
      </c>
      <c r="AD4" s="201" t="str">
        <f>VLOOKUP(Start!$H$22,Header_Data!$A3:$GZ32,31,FALSE)</f>
        <v>numerisch</v>
      </c>
      <c r="AE4" s="201" t="str">
        <f>VLOOKUP(Start!$H$22,Header_Data!$A3:$GZ32,32,FALSE)</f>
        <v>numerisch</v>
      </c>
      <c r="AF4" s="201" t="str">
        <f>VLOOKUP(Start!$H$22,Header_Data!$A3:$GZ32,33,FALSE)</f>
        <v>(numerisch / N)</v>
      </c>
      <c r="AG4" s="201" t="str">
        <f>VLOOKUP(Start!$H$22,Header_Data!$A3:$GZ32,34,FALSE)</f>
        <v>alphanumerisch</v>
      </c>
      <c r="AH4" s="201" t="str">
        <f>VLOOKUP(Start!$H$22,Header_Data!$A3:$GZ32,35,FALSE)</f>
        <v>Dental = DENT
Humanmedizin = MED
Veterinär = VET
durch / voneinander trennen</v>
      </c>
      <c r="AI4" s="201" t="str">
        <f>VLOOKUP(Start!$H$22,Header_Data!$A3:$GZ32,36,FALSE)</f>
        <v>P = Praxis
L = Labor 
B = beides</v>
      </c>
      <c r="AJ4" s="201" t="str">
        <f>VLOOKUP(Start!$H$22,Header_Data!$A3:$GZ32,37,FALSE)</f>
        <v>(J/N)</v>
      </c>
      <c r="AK4" s="201" t="str">
        <f>VLOOKUP(Start!$H$22,Header_Data!$A3:$GZ32,38,FALSE)</f>
        <v>(J/N)</v>
      </c>
      <c r="AL4" s="201" t="str">
        <f>VLOOKUP(Start!$H$22,Header_Data!$A3:$GZ32,39,FALSE)</f>
        <v>Sprachen bitte durch Ländercode nach ISO 3166 angeben und durch / voneinander trennen.</v>
      </c>
      <c r="AM4" s="201" t="str">
        <f>VLOOKUP(Start!$H$22,Header_Data!$A3:$GZ32,40,FALSE)</f>
        <v>(J/N)</v>
      </c>
      <c r="AN4" s="201" t="str">
        <f>VLOOKUP(Start!$H$22,Header_Data!$A3:$GZ32,41,FALSE)</f>
        <v>Sprachen bitte durch Ländercode nach ISO 3166 angeben und durch / voneinander trennen.</v>
      </c>
      <c r="AO4" s="201" t="str">
        <f>VLOOKUP(Start!$H$22,Header_Data!$A3:$GZ32,42,FALSE)</f>
        <v>(J/N)</v>
      </c>
      <c r="AP4" s="202" t="str">
        <f>VLOOKUP(Start!$H$22,Header_Data!$A3:$GZ32,43,FALSE)</f>
        <v>in °C</v>
      </c>
      <c r="AQ4" s="203"/>
      <c r="AR4" s="203"/>
      <c r="AS4" s="204"/>
      <c r="AT4" s="201" t="str">
        <f>VLOOKUP(Start!$H$22,Header_Data!$A3:$GZ32,47,FALSE)</f>
        <v>in Stunden (h)</v>
      </c>
      <c r="AU4" s="201" t="str">
        <f>VLOOKUP(Start!$H$22,Header_Data!$A3:$GZ32,48,FALSE)</f>
        <v>(J/N)</v>
      </c>
      <c r="AV4" s="201" t="str">
        <f>VLOOKUP([1]Start!$H$22,[1]Header_Data!$A3:$GZ32,49,FALSE)</f>
        <v>(J/N)</v>
      </c>
      <c r="AW4" s="201" t="str">
        <f>VLOOKUP([1]Start!$H$22,[1]Header_Data!$A3:$GZ32,50,FALSE)</f>
        <v>(J/N)</v>
      </c>
      <c r="AX4" s="201" t="str">
        <f>VLOOKUP([1]Start!$H$22,[1]Header_Data!$A3:$GZ32,51,FALSE)</f>
        <v>(J/N)</v>
      </c>
      <c r="AY4" s="201" t="str">
        <f>VLOOKUP([1]Start!$H$22,[1]Header_Data!$A3:$GZ32,52,FALSE)</f>
        <v>(J/N)</v>
      </c>
      <c r="AZ4" s="201" t="str">
        <f>VLOOKUP([1]Start!$H$22,[1]Header_Data!$A3:$GZ32,53,FALSE)</f>
        <v>(J/N)</v>
      </c>
      <c r="BA4" s="201" t="str">
        <f>VLOOKUP([1]Start!$H$22,[1]Header_Data!$A3:$GZ32,54,FALSE)</f>
        <v>(J/N)</v>
      </c>
      <c r="BB4" s="201" t="str">
        <f>VLOOKUP([1]Start!$H$22,[1]Header_Data!$A3:$GZ32,55,FALSE)</f>
        <v>(J/N)</v>
      </c>
      <c r="BC4" s="201" t="str">
        <f>VLOOKUP([1]Start!$H$22,[1]Header_Data!$A3:$GZ32,56,FALSE)</f>
        <v>(J/N)</v>
      </c>
      <c r="BD4" s="201" t="str">
        <f>VLOOKUP([1]Start!$H$22,[1]Header_Data!$A3:$GZ32,57,FALSE)</f>
        <v>(J/N)</v>
      </c>
      <c r="BE4" s="201" t="str">
        <f>VLOOKUP([1]Start!$H$22,[1]Header_Data!$A3:$GZ32,58,FALSE)</f>
        <v>(J/N)</v>
      </c>
      <c r="BF4" s="201" t="str">
        <f>VLOOKUP([1]Start!$H$22,[1]Header_Data!$A3:$GZ32,59,FALSE)</f>
        <v>Länder bitte durch Ländercodes nach ISO 3166 angeben und durch / voneinander trennen.</v>
      </c>
      <c r="BG4" s="201" t="str">
        <f>VLOOKUP([1]Start!$H$22,[1]Header_Data!$A3:$GZ32,60,FALSE)</f>
        <v>alphanumerisch</v>
      </c>
      <c r="BH4" s="201" t="str">
        <f>VLOOKUP(Start!$H$22,Header_Data!$A3:$GZ32,61,FALSE)</f>
        <v>(J/N)</v>
      </c>
      <c r="BI4" s="201" t="str">
        <f>VLOOKUP(Start!$H$22,Header_Data!$A3:$GZ32,62,FALSE)</f>
        <v>(I, Is, Im, Ir, IIa, IIb, III, IVD)</v>
      </c>
      <c r="BJ4" s="201" t="str">
        <f>VLOOKUP(Start!$H$22,Header_Data!$A3:$GZ32,63,FALSE)</f>
        <v>(J/N)</v>
      </c>
      <c r="BK4" s="201" t="str">
        <f>VLOOKUP(Start!$H$22,Header_Data!$A3:$GZ32,64,FALSE)</f>
        <v>(J/N)</v>
      </c>
      <c r="BL4" s="201" t="str">
        <f>VLOOKUP([1]Start!$H$22,[1]Header_Data!$A3:$GZ32,65,FALSE)</f>
        <v>(J/N)</v>
      </c>
      <c r="BM4" s="201" t="str">
        <f>VLOOKUP([1]Start!$H$22,[1]Header_Data!$A3:$GZ32,66,FALSE)</f>
        <v>(J/N)</v>
      </c>
      <c r="BN4" s="201" t="str">
        <f>VLOOKUP(Start!$H$22,Header_Data!$A3:$GZ32,67,FALSE)</f>
        <v>(J/N)</v>
      </c>
      <c r="BO4" s="201" t="str">
        <f>VLOOKUP(Start!$H$22,Header_Data!$A3:$GZ32,68,FALSE)</f>
        <v>numerisch</v>
      </c>
      <c r="BP4" s="201" t="str">
        <f>VLOOKUP([1]Start!$H$22,[1]Header_Data!$A3:$GZ32,69,FALSE)</f>
        <v>(J/N)</v>
      </c>
      <c r="BQ4" s="201" t="str">
        <f>VLOOKUP([1]Start!$H$22,[1]Header_Data!$A3:$GZ32,70,FALSE)</f>
        <v>(J/N)</v>
      </c>
      <c r="BR4" s="201" t="str">
        <f>VLOOKUP(Start!$H$22,Header_Data!$A3:$GZ32,71,FALSE)</f>
        <v>in Gramm (g) oder Prozent (%) Wenn vorhanden, bitte beides angeben (Bsp. 3g / 15%)</v>
      </c>
      <c r="BS4" s="201" t="str">
        <f>VLOOKUP(Start!$H$22,Header_Data!$A3:$GZ32,72,FALSE)</f>
        <v>(J/N)
Wenn ein SDB vorhanden ist, dann muss dieses zwingend als Anhang mitgeschickt werden!</v>
      </c>
      <c r="BT4" s="201" t="str">
        <f>VLOOKUP(Start!$H$22,Header_Data!$A3:$GZ32,73,FALSE)</f>
        <v>Datum (tt.mm.jjjj)</v>
      </c>
      <c r="BU4" s="201" t="str">
        <f>VLOOKUP(Start!$H$22,Header_Data!$A3:$GZ32,74,FALSE)</f>
        <v>(J/N)</v>
      </c>
      <c r="BV4" s="201" t="str">
        <f>VLOOKUP(Start!$H$22,Header_Data!$A3:$GZ32,75,FALSE)</f>
        <v>(J/N)</v>
      </c>
      <c r="BW4" s="201" t="str">
        <f>VLOOKUP(Start!$H$22,Header_Data!$A3:$GZ32,76,FALSE)</f>
        <v>(J/N)</v>
      </c>
      <c r="BX4" s="201" t="str">
        <f>VLOOKUP(Start!$H$22,Header_Data!$A3:$GZ32,77,FALSE)</f>
        <v>numerisch</v>
      </c>
      <c r="BY4" s="201" t="str">
        <f>VLOOKUP(Start!$H$22,Header_Data!$A3:$GZ32,78,FALSE)</f>
        <v>Textfeld</v>
      </c>
      <c r="BZ4" s="201" t="str">
        <f>VLOOKUP(Start!$H$22,Header_Data!$A3:$GZ32,79,FALSE)</f>
        <v>numerisch</v>
      </c>
      <c r="CA4" s="201" t="str">
        <f>VLOOKUP(Start!$H$22,Header_Data!$A3:$GZ32,80,FALSE)</f>
        <v>numerisch</v>
      </c>
      <c r="CB4" s="201" t="str">
        <f>VLOOKUP(Start!$H$22,Header_Data!$A3:$GZ32,81,FALSE)</f>
        <v>numerisch</v>
      </c>
      <c r="CC4" s="201" t="str">
        <f>VLOOKUP(Start!$H$22,Header_Data!$A3:$GZ32,82,FALSE)</f>
        <v>numerisch</v>
      </c>
      <c r="CD4" s="201" t="str">
        <f>VLOOKUP(Start!$H$22,Header_Data!$A3:$GZ32,83,FALSE)</f>
        <v>numerisch</v>
      </c>
      <c r="CE4" s="201" t="str">
        <f>VLOOKUP(Start!$H$22,Header_Data!$A3:$GZ32,84,FALSE)</f>
        <v>numerisch</v>
      </c>
      <c r="CF4" s="201" t="str">
        <f>VLOOKUP(Start!$H$22,Header_Data!$A3:$GZ32,85,FALSE)</f>
        <v>numerisch</v>
      </c>
      <c r="CG4" s="201" t="str">
        <f>VLOOKUP(Start!$H$22,Header_Data!$A3:$GZ32,86,FALSE)</f>
        <v>Bitte vollständigen Code inkl. Klammern angeben.</v>
      </c>
      <c r="CH4" s="201" t="str">
        <f>VLOOKUP(Start!$H$22,Header_Data!$A3:$GZ32,87,FALSE)</f>
        <v>numerisch</v>
      </c>
      <c r="CI4" s="201" t="str">
        <f>VLOOKUP(Start!$H$22,Header_Data!$A3:$GZ32,88,FALSE)</f>
        <v>numerisch
in Milliliter (ml) oder Gramm (g)</v>
      </c>
      <c r="CJ4" s="201" t="str">
        <f>VLOOKUP(Start!$H$22,Header_Data!$A3:$GZ32,89,FALSE)</f>
        <v xml:space="preserve">Fass, Kanister, Kiste, Sack, 
Kombinationsverpackung, 
Feinstblechverpackung
</v>
      </c>
      <c r="CK4" s="201" t="str">
        <f>VLOOKUP(Start!$H$22,Header_Data!$A3:$GZ32,90,FALSE)</f>
        <v>(J/N)</v>
      </c>
      <c r="CL4" s="201" t="str">
        <f>VLOOKUP(Start!$H$22,Header_Data!$A3:$GZ32,91,FALSE)</f>
        <v>numerisch</v>
      </c>
      <c r="CM4" s="201" t="str">
        <f>VLOOKUP(Start!$H$22,Header_Data!$A3:$GZ32,92,FALSE)</f>
        <v>(J/N)</v>
      </c>
      <c r="CN4" s="201" t="str">
        <f>VLOOKUP(Start!$H$22,Header_Data!$A3:$GZ32,93,FALSE)</f>
        <v>(J/N)</v>
      </c>
      <c r="CO4" s="201" t="str">
        <f>VLOOKUP(Start!$H$22,Header_Data!$A3:$GZ32,94,FALSE)</f>
        <v>(J/N)</v>
      </c>
      <c r="CP4" s="201" t="str">
        <f>VLOOKUP(Start!$H$22,Header_Data!$A3:$GZ32,95,FALSE)</f>
        <v>(J/N)</v>
      </c>
      <c r="CQ4" s="201" t="str">
        <f>VLOOKUP(Start!$H$22,Header_Data!$A3:$GZ32,96,FALSE)</f>
        <v>(J/N)</v>
      </c>
      <c r="CR4" s="201" t="str">
        <f>VLOOKUP(Start!$H$22,Header_Data!$A3:$GZ32,97,FALSE)</f>
        <v>(J/N)</v>
      </c>
      <c r="CS4" s="201" t="str">
        <f>VLOOKUP(Start!$H$22,Header_Data!$A3:$GZ32,98,FALSE)</f>
        <v>(J/N)</v>
      </c>
      <c r="CT4" s="202" t="str">
        <f>VLOOKUP(Start!$H$22,Header_Data!$A3:$GZ32,99,FALSE)</f>
        <v>in Millimeter (mm)</v>
      </c>
      <c r="CU4" s="203"/>
      <c r="CV4" s="204"/>
      <c r="CW4" s="201" t="str">
        <f>VLOOKUP(Start!$H$22,Header_Data!$A3:$GZ32,102,FALSE)</f>
        <v>in Liter (L)</v>
      </c>
      <c r="CX4" s="201" t="str">
        <f>VLOOKUP(Start!$H$22,Header_Data!$A3:$GZ32,103,FALSE)</f>
        <v>in °C</v>
      </c>
      <c r="CY4" s="201" t="str">
        <f>VLOOKUP(Start!$H$22,Header_Data!$A3:$GZ32,104,FALSE)</f>
        <v>in Watt (W)</v>
      </c>
      <c r="CZ4" s="201" t="str">
        <f>VLOOKUP(Start!$H$22,Header_Data!$A3:$GZ32,105,FALSE)</f>
        <v>(J/N)</v>
      </c>
      <c r="DA4" s="201" t="str">
        <f>VLOOKUP(Start!$H$22,Header_Data!$A3:$GZ32,106,FALSE)</f>
        <v>(J/N)</v>
      </c>
      <c r="DB4" s="201" t="str">
        <f>VLOOKUP(Start!$H$22,Header_Data!$A3:$GZ32,107,FALSE)</f>
        <v>numerisch</v>
      </c>
      <c r="DC4" s="201" t="str">
        <f>VLOOKUP(Start!$H$22,Header_Data!$A3:$GZ32,108,FALSE)</f>
        <v>(J/N)</v>
      </c>
      <c r="DD4" s="201" t="str">
        <f>VLOOKUP(Start!$H$22,Header_Data!$A3:$GZ32,109,FALSE)</f>
        <v>(J/N)</v>
      </c>
      <c r="DE4" s="201" t="str">
        <f>VLOOKUP(Start!$H$22,Header_Data!$A3:$GZ32,110,FALSE)</f>
        <v>(J/N)</v>
      </c>
      <c r="DF4" s="201" t="str">
        <f>VLOOKUP(Start!$H$22,Header_Data!$A3:$GZ32,111,FALSE)</f>
        <v>(J/N)</v>
      </c>
      <c r="DG4" s="201" t="str">
        <f>VLOOKUP(Start!$H$22,Header_Data!$A3:$GZ32,112,FALSE)</f>
        <v>(J/N)</v>
      </c>
      <c r="DH4" s="201" t="str">
        <f>VLOOKUP(Start!$H$22,Header_Data!$A3:$GZ32,113,FALSE)</f>
        <v>Textfeld
(LiIon, LiMetall, Blei, NiCa, etc.)</v>
      </c>
      <c r="DI4" s="201" t="str">
        <f>VLOOKUP(Start!$H$22,Header_Data!$A3:$GZ32,114,FALSE)</f>
        <v>numerisch</v>
      </c>
      <c r="DJ4" s="201" t="str">
        <f>VLOOKUP(Start!$H$22,Header_Data!$A3:$GZ32,115,FALSE)</f>
        <v>numerisch</v>
      </c>
      <c r="DK4" s="201" t="str">
        <f>VLOOKUP(Start!$H$22,Header_Data!$A3:$GZ32,116,FALSE)</f>
        <v>(J/N)</v>
      </c>
      <c r="DL4" s="201" t="str">
        <f>VLOOKUP(Start!$H$22,Header_Data!$A3:$GZ32,117,FALSE)</f>
        <v>in Monaten</v>
      </c>
      <c r="DM4" s="201" t="str">
        <f>VLOOKUP(Start!$H$22,Header_Data!$A3:$GZ32,118,FALSE)</f>
        <v>in Monaten</v>
      </c>
      <c r="DN4" s="201" t="str">
        <f>VLOOKUP(Start!$H$22,Header_Data!$A3:$GZ32,119,FALSE)</f>
        <v>in Monaten</v>
      </c>
      <c r="DO4" s="201" t="str">
        <f>VLOOKUP(Start!$H$22,Header_Data!$A3:$GZ32,120,FALSE)</f>
        <v>in Monaten</v>
      </c>
      <c r="DP4" s="201" t="str">
        <f>VLOOKUP(Start!$H$22,Header_Data!$A3:$GZ32,121,FALSE)</f>
        <v>(J/N)</v>
      </c>
      <c r="DQ4" s="202" t="str">
        <f>VLOOKUP(Start!$H$22,Header_Data!$A3:$GZ32,122,FALSE)</f>
        <v>in Gramm (g)</v>
      </c>
      <c r="DR4" s="203"/>
      <c r="DS4" s="203"/>
      <c r="DT4" s="203"/>
      <c r="DU4" s="203"/>
      <c r="DV4" s="204"/>
      <c r="DW4" s="201" t="str">
        <f>VLOOKUP(Start!$H$22,Header_Data!$A3:$GZ32,128,FALSE)</f>
        <v>(J/N)</v>
      </c>
      <c r="DX4" s="202" t="str">
        <f>VLOOKUP(Start!$H$22,Header_Data!$A3:$GZ32,129,FALSE)</f>
        <v>in Gramm (g)</v>
      </c>
      <c r="DY4" s="203"/>
      <c r="DZ4" s="203"/>
      <c r="EA4" s="203"/>
      <c r="EB4" s="203"/>
      <c r="EC4" s="204"/>
      <c r="ED4" s="201" t="str">
        <f>VLOOKUP(Start!$H$22,Header_Data!$A3:$GZ32,135,FALSE)</f>
        <v>(J/N)</v>
      </c>
      <c r="EE4" s="202" t="str">
        <f>VLOOKUP(Start!$H$22,Header_Data!$A3:$GZ32,136,FALSE)</f>
        <v>in Gramm (g)</v>
      </c>
      <c r="EF4" s="203"/>
      <c r="EG4" s="203"/>
      <c r="EH4" s="203"/>
      <c r="EI4" s="203"/>
      <c r="EJ4" s="204"/>
      <c r="EK4" s="201" t="str">
        <f>VLOOKUP(Start!$H$22,Header_Data!$A3:$GZ32,142,FALSE)</f>
        <v>(J/N)</v>
      </c>
      <c r="EL4" s="201" t="str">
        <f>VLOOKUP(Start!$H$22,Header_Data!$A3:$GZ32,143,FALSE)</f>
        <v>in Stück</v>
      </c>
      <c r="EM4" s="201" t="str">
        <f>VLOOKUP(Start!$H$22,Header_Data!$A3:$GZ32,144,FALSE)</f>
        <v>numerisch</v>
      </c>
      <c r="EN4" s="202" t="str">
        <f>VLOOKUP(Start!$H$22,Header_Data!$A3:$GZ32,145,FALSE)</f>
        <v>numerisch in Millimeter (mm)</v>
      </c>
      <c r="EO4" s="203"/>
      <c r="EP4" s="204"/>
      <c r="EQ4" s="202" t="str">
        <f>VLOOKUP(Start!$H$22,Header_Data!$A3:$GZ32,148,FALSE)</f>
        <v>numerisch in Gramm (g)</v>
      </c>
      <c r="ER4" s="204"/>
      <c r="ES4" s="201" t="str">
        <f>VLOOKUP(Start!$H$22,Header_Data!$A3:$GZ32,150,FALSE)</f>
        <v>(J/N)</v>
      </c>
      <c r="ET4" s="201" t="str">
        <f>VLOOKUP(Start!$H$22,Header_Data!$A3:$GZ32,151,FALSE)</f>
        <v>(J/N)</v>
      </c>
      <c r="EU4" s="201" t="str">
        <f>VLOOKUP(Start!$H$22,Header_Data!$A3:$GZ32,152,FALSE)</f>
        <v>numerisch</v>
      </c>
      <c r="EV4" s="202" t="str">
        <f>VLOOKUP(Start!$H$22,Header_Data!$A3:$GZ32,153,FALSE)</f>
        <v>in Millimeter (mm)</v>
      </c>
      <c r="EW4" s="203"/>
      <c r="EX4" s="204"/>
      <c r="EY4" s="202" t="str">
        <f>VLOOKUP(Start!$H$22,Header_Data!$A3:$GZ32,156,FALSE)</f>
        <v>in Gramm (g)</v>
      </c>
      <c r="EZ4" s="204"/>
      <c r="FA4" s="201" t="str">
        <f>VLOOKUP(Start!$H$22,Header_Data!$A3:$GZ32,158,FALSE)</f>
        <v>(J/N)</v>
      </c>
      <c r="FB4" s="201" t="str">
        <f>VLOOKUP(Start!$H$22,Header_Data!$A3:$GZ32,159,FALSE)</f>
        <v>Textfeld</v>
      </c>
      <c r="FC4" s="201" t="str">
        <f>VLOOKUP(Start!$H$22,Header_Data!$A3:$GZ32,160,FALSE)</f>
        <v>numerisch</v>
      </c>
      <c r="FD4" s="201" t="str">
        <f>VLOOKUP(Start!$H$22,Header_Data!$A3:$GZ32,161,FALSE)</f>
        <v>in Millimeter (mm)</v>
      </c>
      <c r="FE4" s="201" t="str">
        <f>VLOOKUP(Start!$H$22,Header_Data!$A3:$GZ32,162,FALSE)</f>
        <v>numerisch, 8-11-stellig</v>
      </c>
      <c r="FF4" s="201" t="str">
        <f>VLOOKUP(Start!$H$22,Header_Data!$A3:$GZ32,163,FALSE)</f>
        <v>(J/N)</v>
      </c>
      <c r="FG4" s="201" t="str">
        <f>VLOOKUP(Start!$H$22,Header_Data!$A3:$GZ32,164,FALSE)</f>
        <v>zweistellig, gemäß ISO 3166, Alpha 2</v>
      </c>
      <c r="FH4" s="201" t="str">
        <f>VLOOKUP(Start!$H$22,Header_Data!$A3:$GZ32,165,FALSE)</f>
        <v>Textfeld</v>
      </c>
      <c r="FI4" s="201" t="str">
        <f>VLOOKUP(Start!$H$22,Header_Data!$A3:$GZ32,166,FALSE)</f>
        <v>(J/N)</v>
      </c>
      <c r="FJ4" s="201" t="str">
        <f>VLOOKUP(Start!$H$22,Header_Data!$A3:$GZ32,167,FALSE)</f>
        <v>in EUR</v>
      </c>
      <c r="FK4" s="201" t="str">
        <f>VLOOKUP(Start!$H$22,Header_Data!$A3:$GZ32,168,FALSE)</f>
        <v>Textfeld</v>
      </c>
      <c r="FL4" s="201" t="str">
        <f>VLOOKUP(Start!$H$22,Header_Data!$A3:$GZ32,169,FALSE)</f>
        <v>in Prozent (%)</v>
      </c>
      <c r="FM4" s="201" t="str">
        <f>VLOOKUP(Start!$H$22,Header_Data!$A3:$GZ32,170,FALSE)</f>
        <v>Text und/oder Anhang / N
(z.B. latexhaltig)</v>
      </c>
      <c r="FN4" s="202" t="str">
        <f>VLOOKUP(Start!$H$22,Header_Data!$A3:$GZ32,171,FALSE)</f>
        <v>Originalname der SD Datei des Herstellers</v>
      </c>
      <c r="FO4" s="203"/>
      <c r="FP4" s="203"/>
      <c r="FQ4" s="203"/>
      <c r="FR4" s="204"/>
      <c r="FS4" s="201" t="str">
        <f>VLOOKUP(Start!$H$22,Header_Data!$A3:$GZ32,176,FALSE)</f>
        <v>(J/N)</v>
      </c>
      <c r="FT4" s="201" t="str">
        <f>VLOOKUP(Start!$H$22,Header_Data!$A3:$GZ32,177,FALSE)</f>
        <v>Händler bitte durch / voneinander trennen. (Bsp. DU/HSC/PD/NWD/M&amp;W)</v>
      </c>
      <c r="FU4" s="201" t="str">
        <f>VLOOKUP(Start!$H$22,Header_Data!$A3:$GZ32,178,FALSE)</f>
        <v>(J/N)</v>
      </c>
      <c r="FV4" s="201" t="str">
        <f>VLOOKUP(Start!$H$22,Header_Data!$A3:$GZ32,179,FALSE)</f>
        <v>(I, II, III)</v>
      </c>
      <c r="FW4" s="201" t="str">
        <f>VLOOKUP(Start!$H$22,Header_Data!$A3:$GZ32,180,FALSE)</f>
        <v>(J/N)</v>
      </c>
      <c r="FX4" s="201" t="s">
        <v>663</v>
      </c>
      <c r="FY4" s="201" t="str">
        <f>VLOOKUP(Start!$H$22,Header_Data!$A3:$GZ32,181,FALSE)</f>
        <v>MDR oder MDD</v>
      </c>
      <c r="FZ4" s="201" t="str">
        <f>VLOOKUP(Start!$H$22,Header_Data!$A3:$GZ32,182,FALSE)</f>
        <v>Alphanumerisch</v>
      </c>
      <c r="GA4" s="201" t="str">
        <f>VLOOKUP(Start!$H$22,Header_Data!$A3:$GZ32,183,FALSE)</f>
        <v>Alphanumerisch</v>
      </c>
      <c r="GB4" s="201" t="str">
        <f>VLOOKUP(Start!$H$22,Header_Data!$A3:$GZ32,184,FALSE)</f>
        <v>tt.mm.jjjj</v>
      </c>
      <c r="GC4" s="201" t="s">
        <v>40</v>
      </c>
      <c r="GD4" s="201" t="str">
        <f>VLOOKUP(Start!$H$22,Header_Data!$A3:$GZ32,186,FALSE)</f>
        <v>(J/N)</v>
      </c>
    </row>
    <row r="5" spans="1:186" s="207" customFormat="1" ht="48" customHeight="1" outlineLevel="1" x14ac:dyDescent="0.3">
      <c r="A5" s="206" t="str">
        <f>VLOOKUP(Start!H23,Header_Data!$A3:$GZ32,2,FALSE)</f>
        <v>Nur für csv-Konvertierung erforderlich</v>
      </c>
      <c r="B5" s="206" t="str">
        <f>VLOOKUP(Start!$H$23,Header_Data!$A3:$GZ32,3,FALSE)</f>
        <v>Pflichtfeld</v>
      </c>
      <c r="C5" s="206" t="str">
        <f>VLOOKUP(Start!$H$23,Header_Data!$A3:$GZ32,4,FALSE)</f>
        <v>Pflichtfeld</v>
      </c>
      <c r="D5" s="206" t="str">
        <f>VLOOKUP(Start!$H$23,Header_Data!$A3:$GZ32,5,FALSE)</f>
        <v>Pflichtfeld</v>
      </c>
      <c r="E5" s="206" t="str">
        <f>VLOOKUP(Start!$H$23,Header_Data!$A3:$GZ32,6,FALSE)</f>
        <v>Pflichtfeld</v>
      </c>
      <c r="F5" s="206" t="str">
        <f>VLOOKUP(Start!$H$23,Header_Data!$A3:$GZ32,7,FALSE)</f>
        <v>Pflichtfeld 
Wenn "N" oder "A", bitte auch die folgenden Felder ausfüllen (graue Spaltenüberschriften).</v>
      </c>
      <c r="G5" s="206" t="str">
        <f>VLOOKUP(Start!$H$23,Header_Data!$A3:$GZ32,8,FALSE)</f>
        <v>abhängiges Feld</v>
      </c>
      <c r="H5" s="206" t="str">
        <f>VLOOKUP(Start!$H$23,Header_Data!$A3:$GZ32,9,FALSE)</f>
        <v>abhängiges Feld</v>
      </c>
      <c r="I5" s="206" t="str">
        <f>VLOOKUP(Start!$H$23,Header_Data!$A3:$GZ32,10,FALSE)</f>
        <v>abhängiges Feld</v>
      </c>
      <c r="J5" s="206" t="str">
        <f>VLOOKUP(Start!$H$23,Header_Data!$A3:$GZ32,11,FALSE)</f>
        <v>abhängiges Feld</v>
      </c>
      <c r="K5" s="206" t="str">
        <f>VLOOKUP(Start!$H$23,Header_Data!$A3:$GZ32,12,FALSE)</f>
        <v>Pflichtfeld 
Wenn "J", bitte auch die folgenden Felder ausfüllen (graue Spaltenüberschriften).</v>
      </c>
      <c r="L5" s="206" t="str">
        <f>VLOOKUP(Start!$H$23,Header_Data!$A3:$GZ32,13,FALSE)</f>
        <v>abhängiges Feld</v>
      </c>
      <c r="M5" s="206" t="str">
        <f>VLOOKUP(Start!$H$23,Header_Data!$A3:$GZ32,14,FALSE)</f>
        <v>abhängiges Feld</v>
      </c>
      <c r="N5" s="206" t="str">
        <f>VLOOKUP(Start!$H$23,Header_Data!$A3:$GZ32,15,FALSE)</f>
        <v>Pflichtfeld</v>
      </c>
      <c r="O5" s="206" t="str">
        <f>VLOOKUP(Start!$H$23,Header_Data!$A3:$GZ32,16,FALSE)</f>
        <v>Pflichtfeld</v>
      </c>
      <c r="P5" s="206" t="str">
        <f>VLOOKUP(Start!$H$23,Header_Data!$A3:$GZ32,17,FALSE)</f>
        <v>Pflichtfeld</v>
      </c>
      <c r="Q5" s="206" t="str">
        <f>VLOOKUP(Start!$H$23,Header_Data!$A3:$GZ32,18,FALSE)</f>
        <v>Pflichtfeld</v>
      </c>
      <c r="R5" s="206" t="str">
        <f>VLOOKUP(Start!$H$23,Header_Data!$A3:$GZ32,19,FALSE)</f>
        <v>Pflichtfeld</v>
      </c>
      <c r="S5" s="206" t="str">
        <f>VLOOKUP(Start!$H$23,Header_Data!$A3:$GZ32,20,FALSE)</f>
        <v>Pflichtfeld</v>
      </c>
      <c r="T5" s="206" t="str">
        <f>VLOOKUP(Start!$H$23,Header_Data!$A3:$GZ32,21,FALSE)</f>
        <v>Pflichtfeld</v>
      </c>
      <c r="U5" s="206" t="str">
        <f>VLOOKUP(Start!$H$23,Header_Data!$A3:$GZ32,22,FALSE)</f>
        <v>Pflichtfeld
Bei "J", bitte rechts alle für diesen Artikel vorhandenen Barcodes angeben.</v>
      </c>
      <c r="V5" s="206" t="str">
        <f>VLOOKUP(Start!$H$23,Header_Data!$A3:$GZ32,23,FALSE)</f>
        <v>abhängiges Feld</v>
      </c>
      <c r="W5" s="206" t="str">
        <f>VLOOKUP(Start!$H$23,Header_Data!$A3:$GZ32,24,FALSE)</f>
        <v>abhängiges Feld</v>
      </c>
      <c r="X5" s="206" t="str">
        <f>VLOOKUP(Start!$H$23,Header_Data!$A3:$GZ32,25,FALSE)</f>
        <v>abhängiges Feld</v>
      </c>
      <c r="Y5" s="206" t="str">
        <f>VLOOKUP(Start!$H$23,Header_Data!$A3:$GZ32,26,FALSE)</f>
        <v>abhängiges Feld</v>
      </c>
      <c r="Z5" s="206" t="str">
        <f>VLOOKUP(Start!$H$23,Header_Data!$A3:$GZ32,27,FALSE)</f>
        <v>abhängiges Feld</v>
      </c>
      <c r="AA5" s="206" t="str">
        <f>VLOOKUP(Start!$H$23,Header_Data!$A3:$GZ32,28,FALSE)</f>
        <v>abhängiges Feld</v>
      </c>
      <c r="AB5" s="206" t="str">
        <f>VLOOKUP(Start!$H$23,Header_Data!$A3:$GZ32,29,FALSE)</f>
        <v>abhängiges Feld</v>
      </c>
      <c r="AC5" s="206" t="str">
        <f>VLOOKUP(Start!$H$23,Header_Data!$A3:$GZ32,30,FALSE)</f>
        <v>abhängiges Feld</v>
      </c>
      <c r="AD5" s="206" t="str">
        <f>VLOOKUP(Start!$H$23,Header_Data!$A3:$GZ32,31,FALSE)</f>
        <v>abhängiges Feld</v>
      </c>
      <c r="AE5" s="206" t="str">
        <f>VLOOKUP(Start!$H$23,Header_Data!$A3:$GZ32,32,FALSE)</f>
        <v>abhängiges Feld</v>
      </c>
      <c r="AF5" s="206" t="str">
        <f>VLOOKUP(Start!$H$23,Header_Data!$A3:$GZ32,33,FALSE)</f>
        <v>Pflichtfeld 
Wenn "J", bitte Code eingeben und das folgende (graue) Feld ausfüllen</v>
      </c>
      <c r="AG5" s="206" t="str">
        <f>VLOOKUP(Start!$H$23,Header_Data!$A3:$GZ32,34,FALSE)</f>
        <v>abhängiges Feld</v>
      </c>
      <c r="AH5" s="206" t="str">
        <f>VLOOKUP(Start!$H$23,Header_Data!$A3:$GZ32,35,FALSE)</f>
        <v xml:space="preserve">Pflichtfeld 
</v>
      </c>
      <c r="AI5" s="206" t="str">
        <f>VLOOKUP(Start!$H$23,Header_Data!$A3:$GZ32,36,FALSE)</f>
        <v>Pflichtfeld</v>
      </c>
      <c r="AJ5" s="206" t="str">
        <f>VLOOKUP(Start!$H$23,Header_Data!$A3:$GZ32,37,FALSE)</f>
        <v>Pflichtfeld</v>
      </c>
      <c r="AK5" s="206" t="str">
        <f>VLOOKUP(Start!$H$23,Header_Data!$A3:$GZ32,38,FALSE)</f>
        <v>Pflichtfeld 
Wenn "N", bitte auch das folgende Feld ausfüllen (graue Spaltenüberschrift).</v>
      </c>
      <c r="AL5" s="206" t="str">
        <f>VLOOKUP(Start!$H$23,Header_Data!$A3:$GZ32,39,FALSE)</f>
        <v>abhängiges Feld</v>
      </c>
      <c r="AM5" s="206" t="str">
        <f>VLOOKUP(Start!$H$23,Header_Data!$A3:$GZ32,40,FALSE)</f>
        <v>Pflichtfeld 
Wenn "J", bitte auch das folgende Feld ausfüllen (graue Spaltenüberschrift).</v>
      </c>
      <c r="AN5" s="206" t="str">
        <f>VLOOKUP(Start!$H$23,Header_Data!$A3:$GZ32,41,FALSE)</f>
        <v>abhängiges Feld</v>
      </c>
      <c r="AO5" s="206" t="str">
        <f>VLOOKUP(Start!$H$23,Header_Data!$A3:$GZ32,42,FALSE)</f>
        <v>Pflichtfeld 
Wenn "J", bitte auch die folgenden Felder ausfüllen (graue Spaltenüberschriften).</v>
      </c>
      <c r="AP5" s="206" t="str">
        <f>VLOOKUP(Start!$H$23,Header_Data!$A3:$GZ32,43,FALSE)</f>
        <v>abhängiges Feld</v>
      </c>
      <c r="AQ5" s="206" t="str">
        <f>VLOOKUP(Start!$H$23,Header_Data!$A3:$GZ32,44,FALSE)</f>
        <v>abhängiges Feld</v>
      </c>
      <c r="AR5" s="206" t="str">
        <f>VLOOKUP(Start!$H$23,Header_Data!$A3:$GZ32,45,FALSE)</f>
        <v>abhängiges Feld</v>
      </c>
      <c r="AS5" s="206" t="str">
        <f>VLOOKUP(Start!$H$23,Header_Data!$A3:$GZ32,46,FALSE)</f>
        <v>abhängiges Feld</v>
      </c>
      <c r="AT5" s="206" t="str">
        <f>VLOOKUP(Start!$H$23,Header_Data!$A3:$GZ32,47,FALSE)</f>
        <v>abhängiges Feld</v>
      </c>
      <c r="AU5" s="206" t="str">
        <f>VLOOKUP(Start!$H$23,Header_Data!$A3:$GZ32,48,FALSE)</f>
        <v>abhängiges Feld</v>
      </c>
      <c r="AV5" s="206" t="str">
        <f>VLOOKUP([1]Start!$H$23,[1]Header_Data!$A3:$GZ32,49,FALSE)</f>
        <v>Pflichtfeld 
Wenn "J", bitte auch die folgenden Felder ausfüllen (graue Spaltenüberschriften).</v>
      </c>
      <c r="AW5" s="206" t="str">
        <f>VLOOKUP([1]Start!$H$23,[1]Header_Data!$A3:$GZ32,50,FALSE)</f>
        <v>abhängiges Feld</v>
      </c>
      <c r="AX5" s="206" t="str">
        <f>VLOOKUP([1]Start!$H$23,[1]Header_Data!$A3:$GZ32,51,FALSE)</f>
        <v>abhängiges Feld</v>
      </c>
      <c r="AY5" s="206" t="str">
        <f>VLOOKUP([1]Start!$H$23,[1]Header_Data!$A3:$GZ32,52,FALSE)</f>
        <v>abhängiges Feld</v>
      </c>
      <c r="AZ5" s="206" t="str">
        <f>VLOOKUP([1]Start!$H$23,[1]Header_Data!$A3:$GZ32,53,FALSE)</f>
        <v>abhängiges Feld</v>
      </c>
      <c r="BA5" s="206" t="str">
        <f>VLOOKUP([1]Start!$H$23,[1]Header_Data!$A3:$GZ32,54,FALSE)</f>
        <v>abhängiges Feld</v>
      </c>
      <c r="BB5" s="206" t="str">
        <f>VLOOKUP([1]Start!$H$23,[1]Header_Data!$A3:$GZ32,55,FALSE)</f>
        <v>abhängiges Feld</v>
      </c>
      <c r="BC5" s="206" t="str">
        <f>VLOOKUP([1]Start!$H$23,[1]Header_Data!$A3:$GZ32,56,FALSE)</f>
        <v>abhängiges Feld</v>
      </c>
      <c r="BD5" s="206" t="str">
        <f>VLOOKUP([1]Start!$H$23,[1]Header_Data!$A3:$GZ32,57,FALSE)</f>
        <v>abhängiges Feld</v>
      </c>
      <c r="BE5" s="206" t="str">
        <f>VLOOKUP([1]Start!$H$23,[1]Header_Data!$A3:$GZ32,58,FALSE)</f>
        <v>abhängiges Feld</v>
      </c>
      <c r="BF5" s="206" t="str">
        <f>VLOOKUP([1]Start!$H$23,[1]Header_Data!$A3:$GZ32,59,FALSE)</f>
        <v>abhängiges Feld</v>
      </c>
      <c r="BG5" s="206" t="str">
        <f>VLOOKUP([1]Start!$H$23,[1]Header_Data!$A3:$GZ32,60,FALSE)</f>
        <v>abhängiges Feld</v>
      </c>
      <c r="BH5" s="206" t="str">
        <f>VLOOKUP(Start!$H$23,Header_Data!$A3:$GZ32,61,FALSE)</f>
        <v>Pflichtfeld 
Wenn "J", bitte auch die folgenden Felder ausfüllen (graue Spaltenüberschriften) sowie Spalte 181 ff.</v>
      </c>
      <c r="BI5" s="206" t="str">
        <f>VLOOKUP(Start!$H$23,Header_Data!$A3:$GZ32,62,FALSE)</f>
        <v>abhängiges Feld</v>
      </c>
      <c r="BJ5" s="206" t="str">
        <f>VLOOKUP(Start!$H$23,Header_Data!$A3:$GZ32,63,FALSE)</f>
        <v>abhängiges Feld</v>
      </c>
      <c r="BK5" s="206" t="str">
        <f>VLOOKUP(Start!$H$23,Header_Data!$A3:$GZ32,64,FALSE)</f>
        <v>abhängiges Feld</v>
      </c>
      <c r="BL5" s="206" t="str">
        <f>VLOOKUP([1]Start!$H$23,[1]Header_Data!$A3:$GZ32,65,FALSE)</f>
        <v>Pflichtfeld 
Wenn "J", bitte auch das folgende Feld ausfüllen (graue Spaltenüberschrift).</v>
      </c>
      <c r="BM5" s="206" t="str">
        <f>VLOOKUP([1]Start!$H$23,[1]Header_Data!$A3:$GZ32,66,FALSE)</f>
        <v>abhängiges Feld</v>
      </c>
      <c r="BN5" s="206" t="str">
        <f>VLOOKUP(Start!$H$23,Header_Data!$A3:$GZ32,67,FALSE)</f>
        <v>Pflichtfeld 
Wenn "J", bitte auch das folgende Feld ausfüllen (graue Spaltenüberschrift).</v>
      </c>
      <c r="BO5" s="206" t="str">
        <f>VLOOKUP(Start!$H$23,Header_Data!$A3:$GZ32,68,FALSE)</f>
        <v>abhängiges Feld</v>
      </c>
      <c r="BP5" s="206" t="str">
        <f>VLOOKUP([1]Start!$H$23,[1]Header_Data!$A3:$GZ32,69,FALSE)</f>
        <v>Pflichtfeld</v>
      </c>
      <c r="BQ5" s="206" t="str">
        <f>VLOOKUP([1]Start!$H$23,[1]Header_Data!$A3:$GZ32,70,FALSE)</f>
        <v>Pflichtfeld</v>
      </c>
      <c r="BR5" s="206" t="str">
        <f>VLOOKUP(Start!$H$23,Header_Data!$A3:$GZ32,71,FALSE)</f>
        <v>Pflichtfeld</v>
      </c>
      <c r="BS5" s="206" t="str">
        <f>VLOOKUP(Start!$H$23,Header_Data!$A3:$GZ32,72,FALSE)</f>
        <v>Pflichtfeld 
Wenn "J", bitte auch die folgenden Felder ausfüllen (graue Spaltenüberschriften).</v>
      </c>
      <c r="BT5" s="206" t="str">
        <f>VLOOKUP(Start!$H$23,Header_Data!$A3:$GZ32,73,FALSE)</f>
        <v>abhängiges Feld</v>
      </c>
      <c r="BU5" s="206" t="str">
        <f>VLOOKUP(Start!$H$23,Header_Data!$A3:$GZ32,74,FALSE)</f>
        <v>abhängiges Feld</v>
      </c>
      <c r="BV5" s="206" t="str">
        <f>VLOOKUP(Start!$H$23,Header_Data!$A3:$GZ32,75,FALSE)</f>
        <v>Pflichtfeld 
Wenn "J", bitte auch die folgenden Felder ausfüllen (graue Spaltenüberschriften).</v>
      </c>
      <c r="BW5" s="206" t="str">
        <f>VLOOKUP(Start!$H$23,Header_Data!$A3:$GZ32,76,FALSE)</f>
        <v>abhängiges Feld</v>
      </c>
      <c r="BX5" s="206" t="str">
        <f>VLOOKUP(Start!$H$23,Header_Data!$A3:$GZ32,77,FALSE)</f>
        <v>abhängiges Feld</v>
      </c>
      <c r="BY5" s="206" t="str">
        <f>VLOOKUP(Start!$H$23,Header_Data!$A3:$GZ32,78,FALSE)</f>
        <v>abhängiges Feld</v>
      </c>
      <c r="BZ5" s="206" t="str">
        <f>VLOOKUP(Start!$H$23,Header_Data!$A3:$GZ32,79,FALSE)</f>
        <v>abhängiges Feld</v>
      </c>
      <c r="CA5" s="206" t="str">
        <f>VLOOKUP(Start!$H$23,Header_Data!$A3:$GZ32,80,FALSE)</f>
        <v>abhängiges Feld</v>
      </c>
      <c r="CB5" s="206" t="str">
        <f>VLOOKUP(Start!$H$23,Header_Data!$A3:$GZ32,81,FALSE)</f>
        <v>abhängiges Feld</v>
      </c>
      <c r="CC5" s="206" t="str">
        <f>VLOOKUP(Start!$H$23,Header_Data!$A3:$GZ32,82,FALSE)</f>
        <v>abhängiges Feld</v>
      </c>
      <c r="CD5" s="206" t="str">
        <f>VLOOKUP(Start!$H$23,Header_Data!$A3:$GZ32,83,FALSE)</f>
        <v>abhängiges Feld</v>
      </c>
      <c r="CE5" s="206" t="str">
        <f>VLOOKUP(Start!$H$23,Header_Data!$A3:$GZ32,84,FALSE)</f>
        <v>abhängiges Feld</v>
      </c>
      <c r="CF5" s="206" t="str">
        <f>VLOOKUP(Start!$H$23,Header_Data!$A3:$GZ32,85,FALSE)</f>
        <v>abhängiges Feld</v>
      </c>
      <c r="CG5" s="206" t="str">
        <f>VLOOKUP(Start!$H$23,Header_Data!$A3:$GZ32,86,FALSE)</f>
        <v>abhängiges Feld</v>
      </c>
      <c r="CH5" s="206" t="str">
        <f>VLOOKUP(Start!$H$23,Header_Data!$A3:$GZ32,87,FALSE)</f>
        <v>abhängiges Feld</v>
      </c>
      <c r="CI5" s="206" t="str">
        <f>VLOOKUP(Start!$H$23,Header_Data!$A3:$GZ32,88,FALSE)</f>
        <v>abhängiges Feld</v>
      </c>
      <c r="CJ5" s="206" t="str">
        <f>VLOOKUP(Start!$H$23,Header_Data!$A3:$GZ32,89,FALSE)</f>
        <v>abhängiges Feld</v>
      </c>
      <c r="CK5" s="206" t="str">
        <f>VLOOKUP(Start!$H$23,Header_Data!$A3:$GZ32,90,FALSE)</f>
        <v>abhängiges Feld</v>
      </c>
      <c r="CL5" s="206" t="str">
        <f>VLOOKUP(Start!$H$23,Header_Data!$A3:$GZ32,91,FALSE)</f>
        <v>abhängiges Feld</v>
      </c>
      <c r="CM5" s="206" t="str">
        <f>VLOOKUP(Start!$H$23,Header_Data!$A3:$GZ32,92,FALSE)</f>
        <v>abhängiges Feld</v>
      </c>
      <c r="CN5" s="206" t="str">
        <f>VLOOKUP(Start!$H$23,Header_Data!$A3:$GZ32,93,FALSE)</f>
        <v>Pflichtfeld</v>
      </c>
      <c r="CO5" s="206" t="str">
        <f>VLOOKUP(Start!$H$23,Header_Data!$A3:$GZ32,94,FALSE)</f>
        <v>Pflichtfeld 
Wenn "J", bitte auch die folgenden Felder ausfüllen (graue Spaltenüberschriften).</v>
      </c>
      <c r="CP5" s="206" t="str">
        <f>VLOOKUP(Start!$H$23,Header_Data!$A3:$GZ32,95,FALSE)</f>
        <v>abhängiges Feld</v>
      </c>
      <c r="CQ5" s="206" t="str">
        <f>VLOOKUP(Start!$H$23,Header_Data!$A3:$GZ32,96,FALSE)</f>
        <v>abhängiges Feld</v>
      </c>
      <c r="CR5" s="206" t="str">
        <f>VLOOKUP(Start!$H$23,Header_Data!$A3:$GZ32,97,FALSE)</f>
        <v>abhängiges Feld</v>
      </c>
      <c r="CS5" s="206" t="str">
        <f>VLOOKUP(Start!$H$23,Header_Data!$A3:$GZ32,98,FALSE)</f>
        <v>Pflichtfeld 
Wenn "J", bitte auch die folgenden Felder ausfüllen (graue Spaltenüberschriften).</v>
      </c>
      <c r="CT5" s="206" t="str">
        <f>VLOOKUP(Start!$H$23,Header_Data!$A3:$GZ32,99,FALSE)</f>
        <v>abhängiges Feld</v>
      </c>
      <c r="CU5" s="206" t="str">
        <f>VLOOKUP(Start!$H$23,Header_Data!$A3:$GZ32,100,FALSE)</f>
        <v>abhängiges Feld</v>
      </c>
      <c r="CV5" s="206" t="str">
        <f>VLOOKUP(Start!$H$23,Header_Data!$A3:$GZ32,102,FALSE)</f>
        <v>abhängiges Feld</v>
      </c>
      <c r="CW5" s="206" t="str">
        <f>VLOOKUP(Start!$H$23,Header_Data!$A3:$GZ32,102,FALSE)</f>
        <v>abhängiges Feld</v>
      </c>
      <c r="CX5" s="206" t="str">
        <f>VLOOKUP(Start!$H$23,Header_Data!$A3:$GZ32,103,FALSE)</f>
        <v>abhängiges Feld</v>
      </c>
      <c r="CY5" s="206" t="str">
        <f>VLOOKUP(Start!$H$23,Header_Data!$A3:$GZ32,104,FALSE)</f>
        <v>abhängiges Feld</v>
      </c>
      <c r="CZ5" s="206" t="str">
        <f>VLOOKUP(Start!$H$23,Header_Data!$A3:$GZ32,105,FALSE)</f>
        <v>abhängiges Feld</v>
      </c>
      <c r="DA5" s="206" t="str">
        <f>VLOOKUP(Start!$H$23,Header_Data!$A3:$GZ32,106,FALSE)</f>
        <v>Pflichtfeld 
Wenn "J", bitte auch das folgende Feld ausfüllen (graue Spaltenüberschrift).</v>
      </c>
      <c r="DB5" s="206" t="str">
        <f>VLOOKUP(Start!$H$23,Header_Data!$A3:$GZ32,107,FALSE)</f>
        <v>abhängiges Feld</v>
      </c>
      <c r="DC5" s="206" t="str">
        <f>VLOOKUP(Start!$H$23,Header_Data!$A3:$GZ32,108,FALSE)</f>
        <v>Pflichtfeld 
Wenn "J", bitte auch die folgenden Felder ausfüllen (graue Spaltenüberschriften).</v>
      </c>
      <c r="DD5" s="206" t="str">
        <f>VLOOKUP(Start!$H$23,Header_Data!$A3:$GZ32,110,FALSE)</f>
        <v>abhängiges Feld</v>
      </c>
      <c r="DE5" s="206" t="str">
        <f>VLOOKUP(Start!$H$23,Header_Data!$A3:$GZ32,110,FALSE)</f>
        <v>abhängiges Feld</v>
      </c>
      <c r="DF5" s="206" t="str">
        <f>VLOOKUP(Start!$H$23,Header_Data!$A3:$GZ32,111,FALSE)</f>
        <v>Pflichtfeld 
Wenn "J", bitte auch die folgenden Felder ausfüllen (graue Spaltenüberschriften)</v>
      </c>
      <c r="DG5" s="206" t="str">
        <f>VLOOKUP(Start!$H$23,Header_Data!$A3:$GZ32,112,FALSE)</f>
        <v>abhängiges Feld</v>
      </c>
      <c r="DH5" s="206" t="str">
        <f>VLOOKUP(Start!$H$23,Header_Data!$A3:$GZ32,113,FALSE)</f>
        <v>abhängiges Feld</v>
      </c>
      <c r="DI5" s="206" t="str">
        <f>VLOOKUP(Start!$H$23,Header_Data!$A3:$GZ32,114,FALSE)</f>
        <v>abhängiges Feld</v>
      </c>
      <c r="DJ5" s="206" t="str">
        <f>VLOOKUP(Start!$H$23,Header_Data!$A3:$GZ32,115,FALSE)</f>
        <v>abhängiges Feld</v>
      </c>
      <c r="DK5" s="206" t="str">
        <f>VLOOKUP(Start!$H$23,Header_Data!$A3:$GZ32,116,FALSE)</f>
        <v>Pflichtfeld 
Wenn "J", bitte auch die folgenden Felder ausfüllen (graue Spaltenüberschriften).</v>
      </c>
      <c r="DL5" s="206" t="str">
        <f>VLOOKUP(Start!$H$23,Header_Data!$A3:$GZ32,117,FALSE)</f>
        <v>abhängiges Feld</v>
      </c>
      <c r="DM5" s="206" t="str">
        <f>VLOOKUP(Start!$H$23,Header_Data!$A3:$GZ32,118,FALSE)</f>
        <v>abhängiges Feld</v>
      </c>
      <c r="DN5" s="206" t="str">
        <f>VLOOKUP(Start!$H$23,Header_Data!$A3:$GZ32,119,FALSE)</f>
        <v>abhängiges Feld</v>
      </c>
      <c r="DO5" s="206" t="str">
        <f>VLOOKUP(Start!$H$23,Header_Data!$A3:$GZ32,120,FALSE)</f>
        <v>abhängiges Feld</v>
      </c>
      <c r="DP5" s="206" t="str">
        <f>VLOOKUP(Start!$H$23,Header_Data!$A3:$GZ32,121,FALSE)</f>
        <v>Pflichtfeld - Bitte die Felder 34.1 -34.6. komplett ausfüllen, wenn Antwort "N" oder wenn der Artikel auch außerhalb DE zugelassen ist.</v>
      </c>
      <c r="DQ5" s="206" t="str">
        <f>VLOOKUP(Start!$H$23,Header_Data!$A3:$GZ32,122,FALSE)</f>
        <v>abhängiges Feld</v>
      </c>
      <c r="DR5" s="206" t="str">
        <f>VLOOKUP(Start!$H$23,Header_Data!$A3:$GZ32,123,FALSE)</f>
        <v>abhängiges Feld</v>
      </c>
      <c r="DS5" s="206" t="str">
        <f>VLOOKUP(Start!$H$23,Header_Data!$A3:$GZ32,124,FALSE)</f>
        <v>abhängiges Feld</v>
      </c>
      <c r="DT5" s="206" t="str">
        <f>VLOOKUP(Start!$H$23,Header_Data!$A3:$GZ32,125,FALSE)</f>
        <v>abhängiges Feld</v>
      </c>
      <c r="DU5" s="206" t="str">
        <f>VLOOKUP(Start!$H$23,Header_Data!$A3:$GZ32,126,FALSE)</f>
        <v>abhängiges Feld</v>
      </c>
      <c r="DV5" s="206" t="str">
        <f>VLOOKUP(Start!$H$23,Header_Data!$A3:$GZ32,127,FALSE)</f>
        <v>abhängiges Feld</v>
      </c>
      <c r="DW5" s="206" t="str">
        <f>VLOOKUP(Start!$H$23,Header_Data!$A3:$GZ32,128,FALSE)</f>
        <v>abhängiges Feld</v>
      </c>
      <c r="DX5" s="206" t="str">
        <f>VLOOKUP(Start!$H$23,Header_Data!$A3:$GZ32,129,FALSE)</f>
        <v>abhängiges Feld</v>
      </c>
      <c r="DY5" s="206" t="str">
        <f>VLOOKUP(Start!$H$23,Header_Data!$A3:$GZ32,130,FALSE)</f>
        <v>abhängiges Feld</v>
      </c>
      <c r="DZ5" s="206" t="str">
        <f>VLOOKUP(Start!$H$23,Header_Data!$A3:$GZ32,131,FALSE)</f>
        <v>abhängiges Feld</v>
      </c>
      <c r="EA5" s="206" t="str">
        <f>VLOOKUP(Start!$H$23,Header_Data!$A3:$GZ32,132,FALSE)</f>
        <v>abhängiges Feld</v>
      </c>
      <c r="EB5" s="206" t="str">
        <f>VLOOKUP(Start!$H$23,Header_Data!$A3:$GZ32,133,FALSE)</f>
        <v>abhängiges Feld</v>
      </c>
      <c r="EC5" s="206" t="str">
        <f>VLOOKUP(Start!$H$23,Header_Data!$A3:$GZ32,134,FALSE)</f>
        <v>abhängiges Feld</v>
      </c>
      <c r="ED5" s="206" t="str">
        <f>VLOOKUP(Start!$H$23,Header_Data!$A3:$GZ32,135,FALSE)</f>
        <v>abhängiges Feld</v>
      </c>
      <c r="EE5" s="206" t="str">
        <f>VLOOKUP(Start!$H$23,Header_Data!$A3:$GZ32,136,FALSE)</f>
        <v>abhängiges Feld</v>
      </c>
      <c r="EF5" s="206" t="str">
        <f>VLOOKUP(Start!$H$23,Header_Data!$A3:$GZ32,137,FALSE)</f>
        <v>abhängiges Feld</v>
      </c>
      <c r="EG5" s="206" t="str">
        <f>VLOOKUP(Start!$H$23,Header_Data!$A3:$GZ32,138,FALSE)</f>
        <v>abhängiges Feld</v>
      </c>
      <c r="EH5" s="206" t="str">
        <f>VLOOKUP(Start!$H$23,Header_Data!$A3:$GZ32,139,FALSE)</f>
        <v>abhängiges Feld</v>
      </c>
      <c r="EI5" s="206" t="str">
        <f>VLOOKUP(Start!$H$23,Header_Data!$A3:$GZ32,140,FALSE)</f>
        <v>abhängiges Feld</v>
      </c>
      <c r="EJ5" s="206" t="str">
        <f>VLOOKUP(Start!$H$23,Header_Data!$A3:$GZ32,141,FALSE)</f>
        <v>abhängiges Feld</v>
      </c>
      <c r="EK5" s="206" t="str">
        <f>VLOOKUP(Start!$H$23,Header_Data!$A3:$GZ32,142,FALSE)</f>
        <v>abhängiges Feld</v>
      </c>
      <c r="EL5" s="206" t="str">
        <f>VLOOKUP(Start!$H$23,Header_Data!$A3:$GZ32,143,FALSE)</f>
        <v>Pflichtfeld</v>
      </c>
      <c r="EM5" s="206" t="str">
        <f>VLOOKUP(Start!$H$23,Header_Data!$A3:$GZ32,144,FALSE)</f>
        <v>Pflichtfeld</v>
      </c>
      <c r="EN5" s="206" t="str">
        <f>VLOOKUP(Start!$H$23,Header_Data!$A3:$GZ32,145,FALSE)</f>
        <v>Pflichtfeld</v>
      </c>
      <c r="EO5" s="206" t="str">
        <f>VLOOKUP(Start!$H$23,Header_Data!$A3:$GZ32,146,FALSE)</f>
        <v>Pflichtfeld</v>
      </c>
      <c r="EP5" s="206" t="str">
        <f>VLOOKUP(Start!$H$23,Header_Data!$A3:$GZ32,147,FALSE)</f>
        <v>Pflichtfeld</v>
      </c>
      <c r="EQ5" s="206" t="str">
        <f>VLOOKUP(Start!$H$23,Header_Data!$A3:$GZ32,148,FALSE)</f>
        <v>Pflichtfeld</v>
      </c>
      <c r="ER5" s="206" t="str">
        <f>VLOOKUP(Start!$H$23,Header_Data!$A3:$GZ32,149,FALSE)</f>
        <v>Pflichtfeld</v>
      </c>
      <c r="ES5" s="206" t="str">
        <f>VLOOKUP(Start!$H$23,Header_Data!$A3:$GZ32,150,FALSE)</f>
        <v>Pflichtfeld 
Wenn "J", bitte die folgenden Felder (graue Spaltenüberschriften) ausfüllen.</v>
      </c>
      <c r="ET5" s="206" t="str">
        <f>VLOOKUP(Start!$H$23,Header_Data!$A3:$GZ32,151,FALSE)</f>
        <v>abhängiges Feld</v>
      </c>
      <c r="EU5" s="206" t="str">
        <f>VLOOKUP(Start!$H$23,Header_Data!$A3:$GZ32,152,FALSE)</f>
        <v>abhängiges Feld</v>
      </c>
      <c r="EV5" s="206" t="str">
        <f>VLOOKUP(Start!$H$23,Header_Data!$A3:$GZ32,153,FALSE)</f>
        <v>abhängiges Feld</v>
      </c>
      <c r="EW5" s="206" t="str">
        <f>VLOOKUP(Start!$H$23,Header_Data!$A3:$GZ32,154,FALSE)</f>
        <v>abhängiges Feld</v>
      </c>
      <c r="EX5" s="206" t="str">
        <f>VLOOKUP(Start!$H$23,Header_Data!$A3:$GZ32,155,FALSE)</f>
        <v>abhängiges Feld</v>
      </c>
      <c r="EY5" s="206" t="str">
        <f>VLOOKUP(Start!$H$23,Header_Data!$A3:$GZ32,156,FALSE)</f>
        <v>abhängiges Feld</v>
      </c>
      <c r="EZ5" s="206" t="str">
        <f>VLOOKUP(Start!$H$23,Header_Data!$A3:$GZ32,157,FALSE)</f>
        <v>abhängiges Feld</v>
      </c>
      <c r="FA5" s="206" t="str">
        <f>VLOOKUP(Start!$H$23,Header_Data!$A3:$GZ32,158,FALSE)</f>
        <v>Pflichtfeld 
Wenn "J", bitte auch die folgenden Felder ausfüllen (graue Spaltenüberschriften).</v>
      </c>
      <c r="FB5" s="206" t="str">
        <f>VLOOKUP(Start!$H$23,Header_Data!$A3:$GZ32,159,FALSE)</f>
        <v>abhängiges Feld</v>
      </c>
      <c r="FC5" s="206" t="str">
        <f>VLOOKUP(Start!$H$23,Header_Data!$A3:$GZ32,160,FALSE)</f>
        <v>abhängiges Feld</v>
      </c>
      <c r="FD5" s="206" t="str">
        <f>VLOOKUP(Start!$H$23,Header_Data!$A3:$GZ32,161,FALSE)</f>
        <v>abhängiges Feld</v>
      </c>
      <c r="FE5" s="206" t="str">
        <f>VLOOKUP(Start!$H$23,Header_Data!$A3:$GZ32,162,FALSE)</f>
        <v>Pflichtfeld</v>
      </c>
      <c r="FF5" s="206" t="str">
        <f>VLOOKUP(Start!$H$23,Header_Data!$A3:$GZ32,163,FALSE)</f>
        <v>Pflichtfeld</v>
      </c>
      <c r="FG5" s="206" t="str">
        <f>VLOOKUP(Start!$H$23,Header_Data!$A3:$GZ32,164,FALSE)</f>
        <v>Pflichtfeld</v>
      </c>
      <c r="FH5" s="206" t="str">
        <f>VLOOKUP(Start!$H$23,Header_Data!$A3:$GZ32,165,FALSE)</f>
        <v>Pflichtfeld</v>
      </c>
      <c r="FI5" s="206" t="str">
        <f>VLOOKUP(Start!$H$23,Header_Data!$A3:$GZ32,166,FALSE)</f>
        <v>Pflichtfeld</v>
      </c>
      <c r="FJ5" s="206" t="str">
        <f>VLOOKUP(Start!$H$23,Header_Data!$A3:$GZ32,167,FALSE)</f>
        <v>Kannfeld</v>
      </c>
      <c r="FK5" s="206" t="str">
        <f>VLOOKUP(Start!$H$23,Header_Data!$A3:$GZ32,168,FALSE)</f>
        <v>abhängiges Feld</v>
      </c>
      <c r="FL5" s="206" t="str">
        <f>VLOOKUP(Start!$H$23,Header_Data!$A3:$GZ32,169,FALSE)</f>
        <v>Pflichtfeld</v>
      </c>
      <c r="FM5" s="206" t="str">
        <f>VLOOKUP(Start!$H$23,Header_Data!$A3:$GZ32,170,FALSE)</f>
        <v>Pflichtfeld
Bitte Besonderheiten aufführen bzw. bei Anhängen die Dateinamen in den folgenden Feldern eintragen (graue Spaltenüberschriften).</v>
      </c>
      <c r="FN5" s="206" t="str">
        <f>VLOOKUP(Start!$H$23,Header_Data!$A3:$GZ32,171,FALSE)</f>
        <v>abhängiges Feld, wenn ein SET vorliegt, bitte alle relvanten SDB durch "/" getrennt aufführen</v>
      </c>
      <c r="FO5" s="206" t="str">
        <f>VLOOKUP(Start!$H$23,Header_Data!$A3:$GZ32,172,FALSE)</f>
        <v>abhängiges Feld, wenn ein SET vorliegt, bitte alle relvanten Bilder durch "/" getrennt aufführen</v>
      </c>
      <c r="FP5" s="206" t="str">
        <f>VLOOKUP(Start!$H$23,Header_Data!$A3:$GZ32,173,FALSE)</f>
        <v>abhängiges Feld, wenn ein SET vorliegt, bitte Name der Stückliste oder Produktbeschreibung angeben</v>
      </c>
      <c r="FQ5" s="206" t="str">
        <f>VLOOKUP([1]Start!$H$23,[1]Header_Data!$A3:$GZ32,174,FALSE)</f>
        <v>abhängiges Feld</v>
      </c>
      <c r="FR5" s="206" t="str">
        <f>VLOOKUP(Start!$H$23,Header_Data!$A3:$GZ32,175,FALSE)</f>
        <v>abhängiges Feld</v>
      </c>
      <c r="FS5" s="206" t="str">
        <f>VLOOKUP(Start!$H$23,Header_Data!$A3:$GZ32,176,FALSE)</f>
        <v>Pflichtfeld 
Wenn "J", bitte auch die folgenden Felder ausfüllen (graue Spaltenüberschriften).</v>
      </c>
      <c r="FT5" s="206" t="str">
        <f>VLOOKUP(Start!$H$23,Header_Data!$A3:$GZ32,177,FALSE)</f>
        <v>abhängiges Feld</v>
      </c>
      <c r="FU5" s="206" t="str">
        <f>VLOOKUP(Start!$H$23,Header_Data!$A3:$GZ32,178,FALSE)</f>
        <v>Pflichtfeld 
Wenn "J", bitte auch die folgenden Felder ausfüllen (graue Spaltenüberschriften).</v>
      </c>
      <c r="FV5" s="206" t="str">
        <f>VLOOKUP(Start!$H$23,Header_Data!$A3:$GZ32,179,FALSE)</f>
        <v>abhängiges Feld</v>
      </c>
      <c r="FW5" s="206" t="str">
        <f>VLOOKUP(Start!$H$23,Header_Data!$A3:$GZ32,180,FALSE)</f>
        <v>Pflichtfeld 
Wenn "J", bitte in 47.1. alle relevanten SDB aufführen und in 47.3. Name der Stückliste/ Produktbeschreibung angeben</v>
      </c>
      <c r="FX5" s="206" t="s">
        <v>41</v>
      </c>
      <c r="FY5" s="206" t="str">
        <f>VLOOKUP(Start!$H$23,Header_Data!$A3:$GZ32,181,FALSE)</f>
        <v>abhängiges Feld</v>
      </c>
      <c r="FZ5" s="206" t="str">
        <f>VLOOKUP(Start!$H$23,Header_Data!$A3:$GZ32,182,FALSE)</f>
        <v>abhängiges Feld</v>
      </c>
      <c r="GA5" s="206" t="str">
        <f>VLOOKUP(Start!$H$23,Header_Data!$A3:$GZ32,183,FALSE)</f>
        <v>abhängiges Feld</v>
      </c>
      <c r="GB5" s="206" t="str">
        <f>VLOOKUP(Start!$H$23,Header_Data!$A3:$GZ32,184,FALSE)</f>
        <v>abhängiges Feld</v>
      </c>
      <c r="GC5" s="206" t="s">
        <v>41</v>
      </c>
      <c r="GD5" s="206" t="str">
        <f>VLOOKUP(Start!$H$23,Header_Data!$A3:$GZ32,186,FALSE)</f>
        <v>abhängiges Feld</v>
      </c>
    </row>
    <row r="6" spans="1:186" s="207" customFormat="1" ht="48" customHeight="1" x14ac:dyDescent="0.3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  <c r="FI6" s="206"/>
      <c r="FJ6" s="206"/>
      <c r="FK6" s="206"/>
      <c r="FL6" s="206"/>
      <c r="FM6" s="206"/>
      <c r="FN6" s="206"/>
      <c r="FO6" s="206"/>
      <c r="FP6" s="206"/>
      <c r="FQ6" s="206"/>
      <c r="FR6" s="206"/>
      <c r="FS6" s="206"/>
      <c r="FT6" s="206"/>
      <c r="FU6" s="206"/>
      <c r="FV6" s="206"/>
      <c r="FW6" s="206"/>
      <c r="FX6" s="206"/>
      <c r="FY6" s="206"/>
    </row>
    <row r="7" spans="1:186" s="209" customFormat="1" ht="57.6" x14ac:dyDescent="0.3">
      <c r="A7" s="225" t="s">
        <v>12</v>
      </c>
      <c r="B7" s="214" t="s">
        <v>13</v>
      </c>
      <c r="C7" s="226" t="s">
        <v>14</v>
      </c>
      <c r="D7" s="105" t="s">
        <v>15</v>
      </c>
      <c r="E7" s="227">
        <v>2958465</v>
      </c>
      <c r="F7" s="214" t="s">
        <v>16</v>
      </c>
      <c r="G7" s="214">
        <v>6789</v>
      </c>
      <c r="H7" s="227">
        <v>47484</v>
      </c>
      <c r="I7" s="227">
        <v>47484</v>
      </c>
      <c r="J7" s="214" t="s">
        <v>17</v>
      </c>
      <c r="K7" s="214" t="s">
        <v>16</v>
      </c>
      <c r="L7" s="214"/>
      <c r="M7" s="214"/>
      <c r="N7" s="214" t="s">
        <v>18</v>
      </c>
      <c r="O7" s="214">
        <v>12345</v>
      </c>
      <c r="P7" s="214" t="s">
        <v>42</v>
      </c>
      <c r="Q7" s="214" t="s">
        <v>18</v>
      </c>
      <c r="R7" s="214">
        <v>69406</v>
      </c>
      <c r="S7" s="215" t="s">
        <v>695</v>
      </c>
      <c r="T7" s="214" t="s">
        <v>664</v>
      </c>
      <c r="U7" s="214" t="s">
        <v>21</v>
      </c>
      <c r="V7" s="228">
        <v>4054596540835</v>
      </c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0" t="s">
        <v>22</v>
      </c>
      <c r="AI7" s="229" t="s">
        <v>23</v>
      </c>
      <c r="AJ7" s="229" t="s">
        <v>16</v>
      </c>
      <c r="AK7" s="230" t="s">
        <v>16</v>
      </c>
      <c r="AL7" s="230" t="s">
        <v>43</v>
      </c>
      <c r="AM7" s="230" t="s">
        <v>16</v>
      </c>
      <c r="AN7" s="230"/>
      <c r="AO7" s="230" t="s">
        <v>21</v>
      </c>
      <c r="AP7" s="230">
        <v>5</v>
      </c>
      <c r="AQ7" s="230">
        <v>27</v>
      </c>
      <c r="AR7" s="230">
        <v>4</v>
      </c>
      <c r="AS7" s="230">
        <v>30</v>
      </c>
      <c r="AT7" s="230">
        <v>10</v>
      </c>
      <c r="AU7" s="230" t="s">
        <v>21</v>
      </c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20" t="s">
        <v>21</v>
      </c>
      <c r="BI7" s="220" t="s">
        <v>44</v>
      </c>
      <c r="BJ7" s="229" t="s">
        <v>16</v>
      </c>
      <c r="BK7" s="229" t="s">
        <v>16</v>
      </c>
      <c r="BL7" s="229"/>
      <c r="BM7" s="229"/>
      <c r="BN7" s="229" t="s">
        <v>16</v>
      </c>
      <c r="BO7" s="229"/>
      <c r="BP7" s="229"/>
      <c r="BQ7" s="229"/>
      <c r="BR7" s="220">
        <v>20</v>
      </c>
      <c r="BS7" s="220" t="s">
        <v>16</v>
      </c>
      <c r="BT7" s="229"/>
      <c r="BU7" s="229"/>
      <c r="BV7" s="220" t="s">
        <v>16</v>
      </c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9"/>
      <c r="CM7" s="229"/>
      <c r="CN7" s="220" t="s">
        <v>21</v>
      </c>
      <c r="CO7" s="220" t="s">
        <v>21</v>
      </c>
      <c r="CP7" s="220" t="s">
        <v>21</v>
      </c>
      <c r="CQ7" s="220" t="s">
        <v>16</v>
      </c>
      <c r="CR7" s="220" t="s">
        <v>16</v>
      </c>
      <c r="CS7" s="220" t="s">
        <v>16</v>
      </c>
      <c r="CT7" s="229"/>
      <c r="CU7" s="229"/>
      <c r="CV7" s="229"/>
      <c r="CW7" s="229"/>
      <c r="CX7" s="229"/>
      <c r="CY7" s="229"/>
      <c r="CZ7" s="229"/>
      <c r="DA7" s="220" t="s">
        <v>16</v>
      </c>
      <c r="DB7" s="229"/>
      <c r="DC7" s="220" t="s">
        <v>16</v>
      </c>
      <c r="DD7" s="229"/>
      <c r="DE7" s="229"/>
      <c r="DF7" s="220" t="s">
        <v>16</v>
      </c>
      <c r="DG7" s="229"/>
      <c r="DH7" s="229"/>
      <c r="DI7" s="229"/>
      <c r="DJ7" s="229"/>
      <c r="DK7" s="220" t="s">
        <v>16</v>
      </c>
      <c r="DL7" s="229"/>
      <c r="DM7" s="229"/>
      <c r="DN7" s="229"/>
      <c r="DO7" s="229"/>
      <c r="DP7" s="220" t="s">
        <v>21</v>
      </c>
      <c r="DQ7" s="229"/>
      <c r="DR7" s="229"/>
      <c r="DS7" s="229"/>
      <c r="DT7" s="229"/>
      <c r="DU7" s="229"/>
      <c r="DV7" s="229"/>
      <c r="DW7" s="229"/>
      <c r="DX7" s="229"/>
      <c r="DY7" s="229"/>
      <c r="DZ7" s="229"/>
      <c r="EA7" s="229"/>
      <c r="EB7" s="229"/>
      <c r="EC7" s="229"/>
      <c r="ED7" s="229"/>
      <c r="EE7" s="229"/>
      <c r="EF7" s="229"/>
      <c r="EG7" s="229"/>
      <c r="EH7" s="229"/>
      <c r="EI7" s="229"/>
      <c r="EJ7" s="229"/>
      <c r="EK7" s="229"/>
      <c r="EL7" s="220">
        <v>1</v>
      </c>
      <c r="EM7" s="220" t="s">
        <v>45</v>
      </c>
      <c r="EN7" s="220">
        <v>140</v>
      </c>
      <c r="EO7" s="220">
        <v>109</v>
      </c>
      <c r="EP7" s="220">
        <v>183</v>
      </c>
      <c r="EQ7" s="220">
        <v>840</v>
      </c>
      <c r="ER7" s="220">
        <v>760</v>
      </c>
      <c r="ES7" s="220" t="s">
        <v>16</v>
      </c>
      <c r="ET7" s="220"/>
      <c r="EU7" s="220"/>
      <c r="EV7" s="220"/>
      <c r="EW7" s="220"/>
      <c r="EX7" s="220"/>
      <c r="EY7" s="220"/>
      <c r="EZ7" s="220"/>
      <c r="FA7" s="220" t="s">
        <v>16</v>
      </c>
      <c r="FB7" s="229"/>
      <c r="FC7" s="229"/>
      <c r="FD7" s="229"/>
      <c r="FE7" s="229">
        <v>34070000000</v>
      </c>
      <c r="FF7" s="229" t="s">
        <v>16</v>
      </c>
      <c r="FG7" s="229" t="s">
        <v>20</v>
      </c>
      <c r="FH7" s="229" t="s">
        <v>28</v>
      </c>
      <c r="FI7" s="229" t="s">
        <v>16</v>
      </c>
      <c r="FJ7" s="229">
        <v>60</v>
      </c>
      <c r="FK7" s="229" t="s">
        <v>46</v>
      </c>
      <c r="FL7" s="231">
        <v>0.19</v>
      </c>
      <c r="FM7" s="229" t="s">
        <v>30</v>
      </c>
      <c r="FN7" s="229"/>
      <c r="FO7" s="229" t="s">
        <v>47</v>
      </c>
      <c r="FP7" s="229" t="s">
        <v>48</v>
      </c>
      <c r="FQ7" s="229"/>
      <c r="FR7" s="229" t="s">
        <v>49</v>
      </c>
      <c r="FS7" s="229" t="s">
        <v>16</v>
      </c>
      <c r="FT7" s="229"/>
      <c r="FU7" s="229" t="s">
        <v>16</v>
      </c>
      <c r="FV7" s="229"/>
      <c r="FW7" s="229" t="s">
        <v>16</v>
      </c>
      <c r="FX7" s="229"/>
      <c r="FY7" s="229" t="s">
        <v>50</v>
      </c>
      <c r="FZ7" s="232" t="s">
        <v>51</v>
      </c>
      <c r="GA7" s="230"/>
      <c r="GB7" s="233">
        <v>49209</v>
      </c>
      <c r="GC7" s="230" t="s">
        <v>21</v>
      </c>
      <c r="GD7" s="219" t="s">
        <v>21</v>
      </c>
    </row>
    <row r="8" spans="1:186" x14ac:dyDescent="0.3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12"/>
      <c r="GA8" s="112"/>
      <c r="GB8" s="112"/>
      <c r="GC8" s="112"/>
      <c r="GD8" s="112"/>
    </row>
    <row r="9" spans="1:186" x14ac:dyDescent="0.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12"/>
      <c r="GA9" s="112"/>
      <c r="GB9" s="112"/>
      <c r="GC9" s="112"/>
      <c r="GD9" s="112"/>
    </row>
    <row r="10" spans="1:186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12"/>
      <c r="GA10" s="112"/>
      <c r="GB10" s="112"/>
      <c r="GC10" s="112"/>
      <c r="GD10" s="112"/>
    </row>
    <row r="11" spans="1:186" x14ac:dyDescent="0.3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12"/>
      <c r="GA11" s="112"/>
      <c r="GB11" s="112"/>
      <c r="GC11" s="112"/>
      <c r="GD11" s="112"/>
    </row>
    <row r="12" spans="1:186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12"/>
      <c r="GA12" s="112"/>
      <c r="GB12" s="112"/>
      <c r="GC12" s="112"/>
      <c r="GD12" s="112"/>
    </row>
    <row r="13" spans="1:186" x14ac:dyDescent="0.3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12"/>
      <c r="GA13" s="112"/>
      <c r="GB13" s="112"/>
      <c r="GC13" s="112"/>
      <c r="GD13" s="112"/>
    </row>
    <row r="14" spans="1:186" x14ac:dyDescent="0.3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12"/>
      <c r="GA14" s="112"/>
      <c r="GB14" s="112"/>
      <c r="GC14" s="112"/>
      <c r="GD14" s="112"/>
    </row>
    <row r="15" spans="1:186" x14ac:dyDescent="0.3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10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12"/>
      <c r="GA15" s="112"/>
      <c r="GB15" s="112"/>
      <c r="GC15" s="112"/>
      <c r="GD15" s="112"/>
    </row>
    <row r="16" spans="1:186" x14ac:dyDescent="0.3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10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12"/>
      <c r="GA16" s="112"/>
      <c r="GB16" s="112"/>
      <c r="GC16" s="112"/>
      <c r="GD16" s="112"/>
    </row>
    <row r="17" spans="1:186" x14ac:dyDescent="0.3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12"/>
      <c r="GA17" s="112"/>
      <c r="GB17" s="112"/>
      <c r="GC17" s="112"/>
      <c r="GD17" s="112"/>
    </row>
    <row r="18" spans="1:186" x14ac:dyDescent="0.3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Y18" s="107"/>
      <c r="FZ18" s="112"/>
      <c r="GA18" s="112"/>
      <c r="GB18" s="112"/>
      <c r="GC18" s="112"/>
      <c r="GD18" s="112"/>
    </row>
  </sheetData>
  <sheetProtection sheet="1" objects="1" scenarios="1" selectLockedCells="1"/>
  <mergeCells count="164">
    <mergeCell ref="X2:X3"/>
    <mergeCell ref="Y2:Y3"/>
    <mergeCell ref="Z2:Z3"/>
    <mergeCell ref="AG2:AG3"/>
    <mergeCell ref="AH2:AH3"/>
    <mergeCell ref="AI2:AI3"/>
    <mergeCell ref="AJ2:AJ3"/>
    <mergeCell ref="AK2:AK3"/>
    <mergeCell ref="AL2:AL3"/>
    <mergeCell ref="AA2:AA3"/>
    <mergeCell ref="AB2:AB3"/>
    <mergeCell ref="AC2:AC3"/>
    <mergeCell ref="AD2:AD3"/>
    <mergeCell ref="AE2:AE3"/>
    <mergeCell ref="AF2:AF3"/>
    <mergeCell ref="AM2:AM3"/>
    <mergeCell ref="AN2:AN3"/>
    <mergeCell ref="AO2:AO3"/>
    <mergeCell ref="AP2:AQ2"/>
    <mergeCell ref="AR2:AS2"/>
    <mergeCell ref="AT2:AT3"/>
    <mergeCell ref="AV2:AV3"/>
    <mergeCell ref="AW2:AW3"/>
    <mergeCell ref="GD2:GD3"/>
    <mergeCell ref="FQ2:FQ3"/>
    <mergeCell ref="BN2:BN3"/>
    <mergeCell ref="A2:A3"/>
    <mergeCell ref="B2:D2"/>
    <mergeCell ref="E2:E3"/>
    <mergeCell ref="F2:F3"/>
    <mergeCell ref="G2:G3"/>
    <mergeCell ref="H2:H3"/>
    <mergeCell ref="U2:U3"/>
    <mergeCell ref="V2:V3"/>
    <mergeCell ref="W2:W3"/>
    <mergeCell ref="O2:O3"/>
    <mergeCell ref="P2:P3"/>
    <mergeCell ref="Q2:Q3"/>
    <mergeCell ref="R2:R3"/>
    <mergeCell ref="S2:S3"/>
    <mergeCell ref="T2:T3"/>
    <mergeCell ref="I2:I3"/>
    <mergeCell ref="J2:J3"/>
    <mergeCell ref="K2:K3"/>
    <mergeCell ref="L2:L3"/>
    <mergeCell ref="M2:M3"/>
    <mergeCell ref="N2:N3"/>
    <mergeCell ref="AU2:AU3"/>
    <mergeCell ref="BG2:BG3"/>
    <mergeCell ref="BL2:BL3"/>
    <mergeCell ref="BM2:BM3"/>
    <mergeCell ref="BP2:BP3"/>
    <mergeCell ref="BQ2:BQ3"/>
    <mergeCell ref="BR2:BR3"/>
    <mergeCell ref="BH2:BH3"/>
    <mergeCell ref="BI2:BI3"/>
    <mergeCell ref="BJ2:BJ3"/>
    <mergeCell ref="BK2:BK3"/>
    <mergeCell ref="BF2:BF3"/>
    <mergeCell ref="AX2:AX3"/>
    <mergeCell ref="AY2:AY3"/>
    <mergeCell ref="AZ2:AZ3"/>
    <mergeCell ref="BA2:BA3"/>
    <mergeCell ref="BB2:BB3"/>
    <mergeCell ref="BC2:BC3"/>
    <mergeCell ref="BD2:BD3"/>
    <mergeCell ref="BE2:BE3"/>
    <mergeCell ref="BO2:BO3"/>
    <mergeCell ref="CD2:CD3"/>
    <mergeCell ref="BS2:BS3"/>
    <mergeCell ref="BT2:BT3"/>
    <mergeCell ref="BU2:BU3"/>
    <mergeCell ref="BV2:BV3"/>
    <mergeCell ref="BW2:BW3"/>
    <mergeCell ref="BX2:BX3"/>
    <mergeCell ref="CK2:CK3"/>
    <mergeCell ref="CL2:CL3"/>
    <mergeCell ref="BY2:BY3"/>
    <mergeCell ref="BZ2:BZ3"/>
    <mergeCell ref="CA2:CA3"/>
    <mergeCell ref="CB2:CB3"/>
    <mergeCell ref="CC2:CC3"/>
    <mergeCell ref="CM2:CM3"/>
    <mergeCell ref="CN2:CN3"/>
    <mergeCell ref="CO2:CO3"/>
    <mergeCell ref="CP2:CP3"/>
    <mergeCell ref="CE2:CE3"/>
    <mergeCell ref="CF2:CF3"/>
    <mergeCell ref="CG2:CG3"/>
    <mergeCell ref="CH2:CH3"/>
    <mergeCell ref="CI2:CI3"/>
    <mergeCell ref="CJ2:CJ3"/>
    <mergeCell ref="CY2:CY3"/>
    <mergeCell ref="CZ2:CZ3"/>
    <mergeCell ref="DB2:DB3"/>
    <mergeCell ref="DD2:DD3"/>
    <mergeCell ref="DE2:DE3"/>
    <mergeCell ref="DG2:DG3"/>
    <mergeCell ref="CQ2:CQ3"/>
    <mergeCell ref="CR2:CR3"/>
    <mergeCell ref="CS2:CS3"/>
    <mergeCell ref="CT2:CV2"/>
    <mergeCell ref="CW2:CW3"/>
    <mergeCell ref="CX2:CX3"/>
    <mergeCell ref="DN2:DN3"/>
    <mergeCell ref="DO2:DO3"/>
    <mergeCell ref="DP2:DP3"/>
    <mergeCell ref="DQ2:DV2"/>
    <mergeCell ref="DW2:DW3"/>
    <mergeCell ref="DX2:EC2"/>
    <mergeCell ref="DH2:DH3"/>
    <mergeCell ref="DI2:DI3"/>
    <mergeCell ref="DJ2:DJ3"/>
    <mergeCell ref="DK2:DK3"/>
    <mergeCell ref="DL2:DL3"/>
    <mergeCell ref="DM2:DM3"/>
    <mergeCell ref="ES2:ES3"/>
    <mergeCell ref="ET2:ET3"/>
    <mergeCell ref="EU2:EU3"/>
    <mergeCell ref="EV2:EZ2"/>
    <mergeCell ref="FA2:FA3"/>
    <mergeCell ref="FB2:FB3"/>
    <mergeCell ref="ED2:ED3"/>
    <mergeCell ref="EE2:EJ2"/>
    <mergeCell ref="EK2:EK3"/>
    <mergeCell ref="EL2:EL3"/>
    <mergeCell ref="EM2:EM3"/>
    <mergeCell ref="EN2:ER2"/>
    <mergeCell ref="FI2:FI3"/>
    <mergeCell ref="FJ2:FJ3"/>
    <mergeCell ref="FK2:FK3"/>
    <mergeCell ref="FL2:FL3"/>
    <mergeCell ref="FM2:FM3"/>
    <mergeCell ref="FN2:FN3"/>
    <mergeCell ref="FC2:FC3"/>
    <mergeCell ref="FD2:FD3"/>
    <mergeCell ref="FE2:FE3"/>
    <mergeCell ref="FF2:FF3"/>
    <mergeCell ref="FG2:FG3"/>
    <mergeCell ref="FH2:FH3"/>
    <mergeCell ref="FX2:FX3"/>
    <mergeCell ref="GC2:GC3"/>
    <mergeCell ref="FN4:FR4"/>
    <mergeCell ref="GB2:GB3"/>
    <mergeCell ref="AP4:AS4"/>
    <mergeCell ref="CT4:CV4"/>
    <mergeCell ref="DQ4:DV4"/>
    <mergeCell ref="DX4:EC4"/>
    <mergeCell ref="EE4:EJ4"/>
    <mergeCell ref="EN4:EP4"/>
    <mergeCell ref="EQ4:ER4"/>
    <mergeCell ref="EV4:EX4"/>
    <mergeCell ref="EY4:EZ4"/>
    <mergeCell ref="FU2:FU3"/>
    <mergeCell ref="FV2:FV3"/>
    <mergeCell ref="FW2:FW3"/>
    <mergeCell ref="FY2:FY3"/>
    <mergeCell ref="FZ2:FZ3"/>
    <mergeCell ref="GA2:GA3"/>
    <mergeCell ref="FO2:FO3"/>
    <mergeCell ref="FP2:FP3"/>
    <mergeCell ref="FR2:FR3"/>
    <mergeCell ref="FS2:FS3"/>
    <mergeCell ref="FT2:FT3"/>
  </mergeCells>
  <dataValidations count="26">
    <dataValidation type="whole" allowBlank="1" showInputMessage="1" showErrorMessage="1" errorTitle="Falsche Eingabe" error="Bitte tragen Sie eine Zahl ein." sqref="AT1:AT1048576 C1:C1048576" xr:uid="{FCA7A574-F306-4A26-9186-29E0EF8C17F7}">
      <formula1>0</formula1>
      <formula2>9.99999999999999E+50</formula2>
    </dataValidation>
    <dataValidation type="date" allowBlank="1" showInputMessage="1" showErrorMessage="1" errorTitle="Falsche Eingabe" error="Bitte tragen Sie ein gültiges Datum ein." sqref="BT1:BT1048576 E1:E1048576 H1:I1048576 L1:L1048576 GB2:GB1048576 GA1" xr:uid="{21CAA801-B22D-4521-BBD6-4C9A44F3CCF4}">
      <formula1>18264</formula1>
      <formula2>2958465</formula2>
    </dataValidation>
    <dataValidation type="list" allowBlank="1" showInputMessage="1" showErrorMessage="1" errorTitle="Falsche Eingabe" error="Bitte tragen Sie ein N (Neuanlage), ein A (Änderung) oder ein Z (nicht mehr lieferbar) ein." sqref="F1:F1048576" xr:uid="{E431808B-1306-4139-9F30-2A64EE74C6DB}">
      <formula1>"N,A,Z"</formula1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1:J7" xr:uid="{259E5F4F-37FE-4A02-8D6F-20E42CB86AB1}">
      <formula1>"Beutel,Dose,Eimer,Flasche,Kanister,Karton,Muster,Packung,Rolle,Set,Spender,Spritze,Stück,Tube,Kit,Bundle,Box,Blister"</formula1>
    </dataValidation>
    <dataValidation type="list" allowBlank="1" showInputMessage="1" showErrorMessage="1" errorTitle="Falsche Eingabe" error="Bitte tragen Sie ein J oder N ein." sqref="GB1:GC1 K1:K1048576 U1:U1048576 AJ1:AK1048576 AM1:AM1048576 AO1:AO1048576 AU1:BH1048576 BJ1:BN1048576 BS1:BS1048576 BU1:BW1048576 CK1:CK1048576 CM1:CS1048576 CZ1:DA1048576 DC1:DG1048576 DK1:DK1048576 DP1:DP1048576 DW1:DW1048576 ED1:ED1048576 EK1:EK1048576 ES1:ET1048576 FA1:FA1048576 FF1:FF1048576 FI1:FI1048576 FS1:FS1048576 FU1:FU1048576 FX4:FX1048576 GC4:GC1048576 FW1:FW1048576 FX1 GD6:GD1048576" xr:uid="{6C86BB93-7A72-4650-8B97-401E8569D72E}">
      <formula1>"J,N"</formula1>
    </dataValidation>
    <dataValidation type="list" allowBlank="1" showInputMessage="1" showErrorMessage="1" errorTitle="Falsche Eingabe" error="Bitte tragen Sie N, i oder o ein." sqref="T1:T1048576" xr:uid="{42846E23-EA04-41E3-A078-E6220C4D3C8F}">
      <formula1>"N,i,o"</formula1>
    </dataValidation>
    <dataValidation type="whole" allowBlank="1" showInputMessage="1" showErrorMessage="1" errorTitle="Falsche Eingabe" error="Bitte tragen Sie eine Zahl ein." sqref="FJ1:FJ1048576 EL1:EL1048576" xr:uid="{B9592497-C264-4B98-92E7-A141B7523478}">
      <formula1>0</formula1>
      <formula2>9.99999999999999E+45</formula2>
    </dataValidation>
    <dataValidation type="list" allowBlank="1" showInputMessage="1" showErrorMessage="1" errorTitle="Falsche Eingabe" error="Bitte tragen Sie DENT, MED oder VET ein." sqref="AH1:AH1048576" xr:uid="{274960E1-B7AA-4F2D-B9D1-75F6A1CB44D5}">
      <formula1>"DENT,MED,VET"</formula1>
    </dataValidation>
    <dataValidation type="list" allowBlank="1" showInputMessage="1" showErrorMessage="1" errorTitle="Falsche Eingabe" error="Bitte tragen Sie P, L oder B ein." sqref="AI1:AI1048576" xr:uid="{B71AB411-4C9A-487C-B2AA-766522E4C05A}">
      <formula1>"P,L,B"</formula1>
    </dataValidation>
    <dataValidation type="whole" allowBlank="1" showInputMessage="1" showErrorMessage="1" error="Bitte tragen Sie eine Zahl ein." sqref="CI1:CI1048576" xr:uid="{D257FBE4-3F8C-4913-8044-CD434DE0A908}">
      <formula1>0</formula1>
      <formula2>9.99999999999999E+47</formula2>
    </dataValidation>
    <dataValidation type="list" allowBlank="1" showInputMessage="1" showErrorMessage="1" errorTitle="Falsche Eingabe" error="Bitte tragen Sie Fass, Kanister, Kiste, Sack, Kombinationsverpackung, Feinstbleckverpackung ein" sqref="CJ1:CJ1048576" xr:uid="{349723F2-453C-44A1-AF7C-4FE3648AA233}">
      <formula1>"Fass,Kanister,Kiste,Sack,Kombinationsverpackung,Feinstbleckverpackung"</formula1>
    </dataValidation>
    <dataValidation type="whole" allowBlank="1" showInputMessage="1" showErrorMessage="1" errorTitle="Falsche Eingabe" error="Bitte tragen Sie eine Zahl ein." sqref="DL1:DO1048576 CT1:CV1048576 CX1:CY1048576 DB1:DB1048576" xr:uid="{946C531B-9C9D-4CDE-9812-2C7936A4E72F}">
      <formula1>0</formula1>
      <formula2>9.99999999999999E+48</formula2>
    </dataValidation>
    <dataValidation type="decimal" allowBlank="1" showInputMessage="1" showErrorMessage="1" errorTitle="Falsche Eingabe" error="Bitte tragen Sie eine Zahl ein." sqref="CW1:CW1048576" xr:uid="{92F7E48B-7B46-4A7E-B5B8-AFF7E5D272DE}">
      <formula1>0</formula1>
      <formula2>9.99999999999999E+48</formula2>
    </dataValidation>
    <dataValidation type="list" allowBlank="1" showInputMessage="1" showErrorMessage="1" errorTitle="Falsche Eingabe" error="Bitte tragen Sie Lilon, LiMetall, Blei, NiCa ein." sqref="DH1:DH1048576" xr:uid="{4165B409-4F21-4F37-9139-53CBC803F448}">
      <formula1>"Lilon,LiMetall,Blei,NiCa"</formula1>
    </dataValidation>
    <dataValidation type="list" allowBlank="1" showInputMessage="1" showErrorMessage="1" errorTitle="Falsche Eingabe" error="Bitte tragen Sie I, II oder III ein." sqref="FV1:FV1048576" xr:uid="{CF8AE7E5-4402-4074-A336-0D4AF0B0CB27}">
      <formula1>"I,II,III"</formula1>
    </dataValidation>
    <dataValidation type="list" allowBlank="1" showInputMessage="1" showErrorMessage="1" errorTitle="Falsche Eingabe" error="Bitte tragen Sie MDD oder MDR ein." sqref="FY2:FY1048576" xr:uid="{CEF6EDF2-372F-4130-B747-C35AF6CE9891}">
      <formula1>"MDD,MDR"</formula1>
    </dataValidation>
    <dataValidation type="whole" allowBlank="1" showInputMessage="1" showErrorMessage="1" errorTitle="Falsche Eingabe" error="Bitte tragen Sie eine Zahl ein." sqref="AP1:AS1048576" xr:uid="{0642DAAD-B4F3-4048-B22E-72C046426DD4}">
      <formula1>-500</formula1>
      <formula2>500</formula2>
    </dataValidation>
    <dataValidation type="whole" allowBlank="1" showInputMessage="1" showErrorMessage="1" errorTitle="Falsche Eingabe" error="Bitte tragen Sie eine Zahl ein." sqref="EN1:EP1048576 EU1:EX1048576 DI1:DJ1048576" xr:uid="{8289DC16-BEEF-4CE3-94E5-D90D804C6820}">
      <formula1>0</formula1>
      <formula2>9.99999999999999E+46</formula2>
    </dataValidation>
    <dataValidation type="list" allowBlank="1" showInputMessage="1" showErrorMessage="1" errorTitle="Falsche Eingabe" error="Bitte tragen Sie I, Is, Im, Ir, IIa, IIb, III oder IVD ein." sqref="BI1:BI1048576" xr:uid="{35E2EC50-1F1D-4FF9-B4BC-6F9EEAE1EB09}">
      <formula1>"I,Is,Im,Ir,IIa,IIb,III,IVD"</formula1>
    </dataValidation>
    <dataValidation type="whole" allowBlank="1" showInputMessage="1" showErrorMessage="1" errorTitle="Falsche Eingabe" error="Bitte tragen Sie eine Zahl ein." sqref="BX1:BX1048576 BZ1:CF1048576 CH1:CH1048576 CL1:CL1048576 FC1:FD1048576" xr:uid="{A7EFC725-F5E6-4435-A347-983DE683592F}">
      <formula1>0</formula1>
      <formula2>9.99999999999999E+47</formula2>
    </dataValidation>
    <dataValidation type="decimal" allowBlank="1" showInputMessage="1" showErrorMessage="1" errorTitle="Falsche Eingabe" error="Bitte tragen Sie eine Zahl ein." sqref="DQ1:DV1048576 DX1:EC1048576 EE1:EJ1048576" xr:uid="{280D9A55-D336-4BEE-B262-EE727A3AB4B9}">
      <formula1>0</formula1>
      <formula2>9.99999999999999E+46</formula2>
    </dataValidation>
    <dataValidation type="decimal" allowBlank="1" showInputMessage="1" showErrorMessage="1" errorTitle="Falsche Eingabe" error="Bitte tragen Sie eine Zahl ein." sqref="EQ1:ER1048576 EY1:EZ1048576" xr:uid="{F1B21CD6-D6C7-4893-8DEC-85B166156335}">
      <formula1>0</formula1>
      <formula2>9.99999999999999E+47</formula2>
    </dataValidation>
    <dataValidation allowBlank="1" showInputMessage="1" showErrorMessage="1" errorTitle="Falsche Eingabe" error="Bitte tragen Sie ein gültiges Datum ein." sqref="GC2:GD3" xr:uid="{2BAC6A89-367B-46A6-B86D-54FFF1EF03B0}"/>
    <dataValidation allowBlank="1" showInputMessage="1" showErrorMessage="1" errorTitle="Falsche Eingabe" error="Bitte tragen Sie I, II oder III." sqref="GD5" xr:uid="{D11AC8BF-2BDB-478F-B8D8-372074C99137}"/>
    <dataValidation allowBlank="1" showInputMessage="1" showErrorMessage="1" errorTitle="Falsche Eingabe" error="Bitte tragen Sie ein J oder N ein." sqref="FX2:FX3" xr:uid="{77D0CAD4-2B13-480C-9A3A-5AA146F7A285}"/>
    <dataValidation type="list" allowBlank="1" showInputMessage="1" showErrorMessage="1" sqref="J8:J1048576" xr:uid="{E16614AA-EAF1-4FE8-B3FA-5297C9E37D5C}">
      <formula1>"Beutel,Dose,Eimer,Flasche,Kanister,Karton,Muster,Packung,Rolle,Set,Spender,Spritze,Stück,Tube,Kit,Bundle,Box,Blister,Nachfüllpackung,Großpackung"</formula1>
    </dataValidation>
  </dataValidations>
  <hyperlinks>
    <hyperlink ref="D7" r:id="rId1" xr:uid="{56160425-13E5-416F-B213-755A9C6206F7}"/>
  </hyperlinks>
  <pageMargins left="0.70866141732283472" right="0.70866141732283472" top="0.78740157480314965" bottom="0.78740157480314965" header="0.31496062992125984" footer="0.31496062992125984"/>
  <pageSetup paperSize="8" scale="9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8184-E9A8-46CB-AFAD-102A52C96245}">
  <dimension ref="A1:GD18"/>
  <sheetViews>
    <sheetView zoomScale="80" zoomScaleNormal="80" workbookViewId="0">
      <pane ySplit="5" topLeftCell="A6" activePane="bottomLeft" state="frozen"/>
      <selection activeCell="A2" sqref="A2"/>
      <selection pane="bottomLeft" activeCell="H8" sqref="H8"/>
    </sheetView>
  </sheetViews>
  <sheetFormatPr baseColWidth="10" defaultColWidth="11.44140625" defaultRowHeight="14.4" outlineLevelRow="1" x14ac:dyDescent="0.3"/>
  <cols>
    <col min="1" max="1" width="12.44140625" style="106" customWidth="1"/>
    <col min="2" max="4" width="9.44140625" style="106" customWidth="1"/>
    <col min="5" max="5" width="12.5546875" style="106" customWidth="1"/>
    <col min="6" max="6" width="21.44140625" style="106" customWidth="1"/>
    <col min="7" max="9" width="13.88671875" style="106" customWidth="1"/>
    <col min="10" max="10" width="19.109375" style="106" customWidth="1"/>
    <col min="11" max="11" width="19" style="106" customWidth="1"/>
    <col min="12" max="13" width="13.88671875" style="106" customWidth="1"/>
    <col min="14" max="18" width="11.5546875" style="106" customWidth="1"/>
    <col min="19" max="19" width="21.5546875" style="106" customWidth="1"/>
    <col min="20" max="21" width="8.5546875" style="106" customWidth="1"/>
    <col min="22" max="22" width="18.5546875" style="106" customWidth="1"/>
    <col min="23" max="29" width="13.88671875" style="106" customWidth="1"/>
    <col min="30" max="30" width="9.5546875" style="106" customWidth="1"/>
    <col min="31" max="31" width="13.88671875" style="106" customWidth="1"/>
    <col min="32" max="32" width="16.88671875" style="106" customWidth="1"/>
    <col min="33" max="33" width="13.88671875" style="106" customWidth="1"/>
    <col min="34" max="34" width="15.5546875" style="106" customWidth="1"/>
    <col min="35" max="35" width="8.5546875" style="106" customWidth="1" collapsed="1"/>
    <col min="36" max="36" width="8.5546875" style="106" customWidth="1"/>
    <col min="37" max="40" width="8.5546875" style="106" hidden="1" customWidth="1"/>
    <col min="41" max="41" width="24" style="106" customWidth="1"/>
    <col min="42" max="45" width="10.109375" style="106" customWidth="1"/>
    <col min="46" max="47" width="13.88671875" style="106" customWidth="1"/>
    <col min="48" max="65" width="13.88671875" style="106" hidden="1" customWidth="1"/>
    <col min="66" max="66" width="19" style="106" customWidth="1"/>
    <col min="67" max="67" width="13.88671875" style="106" customWidth="1"/>
    <col min="68" max="69" width="8.5546875" style="106" customWidth="1"/>
    <col min="70" max="70" width="11.44140625" style="106" customWidth="1"/>
    <col min="71" max="71" width="24" style="106" customWidth="1"/>
    <col min="72" max="73" width="13.88671875" style="106" customWidth="1"/>
    <col min="74" max="74" width="16.5546875" style="106" customWidth="1"/>
    <col min="75" max="77" width="13.88671875" style="106" customWidth="1"/>
    <col min="78" max="78" width="9.5546875" style="106" customWidth="1"/>
    <col min="79" max="81" width="13.88671875" style="106" customWidth="1"/>
    <col min="82" max="82" width="15" style="106" customWidth="1"/>
    <col min="83" max="91" width="13.88671875" style="106" customWidth="1"/>
    <col min="92" max="92" width="14.44140625" style="106" customWidth="1"/>
    <col min="93" max="93" width="18.5546875" style="106" customWidth="1" collapsed="1"/>
    <col min="94" max="96" width="13.88671875" style="106" customWidth="1"/>
    <col min="97" max="97" width="16.5546875" style="106" customWidth="1"/>
    <col min="98" max="98" width="13.88671875" style="106" customWidth="1"/>
    <col min="99" max="99" width="10.88671875" style="106" customWidth="1"/>
    <col min="100" max="101" width="13.88671875" style="106" customWidth="1"/>
    <col min="102" max="103" width="11.44140625" style="106" customWidth="1"/>
    <col min="104" max="104" width="13.88671875" style="106" customWidth="1"/>
    <col min="105" max="105" width="19" style="106" customWidth="1"/>
    <col min="106" max="106" width="13.88671875" style="106" customWidth="1"/>
    <col min="107" max="107" width="16.5546875" style="106" customWidth="1"/>
    <col min="108" max="108" width="10.5546875" style="106" customWidth="1"/>
    <col min="109" max="109" width="13.88671875" style="106" customWidth="1"/>
    <col min="110" max="110" width="16.5546875" style="106" customWidth="1"/>
    <col min="111" max="111" width="13.88671875" style="106" customWidth="1"/>
    <col min="112" max="113" width="9.5546875" style="106" customWidth="1"/>
    <col min="114" max="114" width="13.88671875" style="106" customWidth="1"/>
    <col min="115" max="115" width="19" style="106" customWidth="1"/>
    <col min="116" max="119" width="13.88671875" style="106" customWidth="1"/>
    <col min="120" max="120" width="29.88671875" style="106" customWidth="1"/>
    <col min="121" max="121" width="9.109375" style="106" customWidth="1"/>
    <col min="122" max="123" width="9.5546875" style="106" customWidth="1"/>
    <col min="124" max="124" width="7.109375" style="106" customWidth="1"/>
    <col min="125" max="126" width="9.5546875" style="106" customWidth="1"/>
    <col min="127" max="127" width="13.88671875" style="106" customWidth="1"/>
    <col min="128" max="130" width="9.5546875" style="106" customWidth="1"/>
    <col min="131" max="131" width="7.109375" style="106" customWidth="1"/>
    <col min="132" max="133" width="9.5546875" style="106" customWidth="1"/>
    <col min="134" max="134" width="13.88671875" style="106" customWidth="1"/>
    <col min="135" max="135" width="6.109375" style="106" customWidth="1"/>
    <col min="136" max="137" width="9.5546875" style="106" customWidth="1"/>
    <col min="138" max="138" width="7.109375" style="106" customWidth="1"/>
    <col min="139" max="140" width="9.5546875" style="106" customWidth="1"/>
    <col min="141" max="141" width="13.88671875" style="106" customWidth="1"/>
    <col min="142" max="142" width="10.88671875" style="106" customWidth="1"/>
    <col min="143" max="143" width="12.5546875" style="106" customWidth="1"/>
    <col min="144" max="148" width="10.88671875" style="106" customWidth="1"/>
    <col min="149" max="149" width="19" style="106" customWidth="1"/>
    <col min="150" max="151" width="13.88671875" style="106" customWidth="1"/>
    <col min="152" max="154" width="8.109375" style="106" customWidth="1"/>
    <col min="155" max="156" width="13.88671875" style="106" customWidth="1"/>
    <col min="157" max="157" width="16.5546875" style="106" customWidth="1"/>
    <col min="158" max="159" width="13.88671875" style="106" customWidth="1"/>
    <col min="160" max="160" width="9.5546875" style="106" customWidth="1"/>
    <col min="161" max="161" width="12.44140625" style="106" customWidth="1"/>
    <col min="162" max="166" width="8.5546875" style="106" customWidth="1"/>
    <col min="167" max="167" width="13.88671875" style="106" customWidth="1"/>
    <col min="168" max="168" width="8.5546875" style="106" customWidth="1" collapsed="1"/>
    <col min="169" max="169" width="33" style="106" customWidth="1"/>
    <col min="170" max="172" width="13.88671875" style="106" customWidth="1"/>
    <col min="173" max="174" width="13.88671875" style="106" hidden="1" customWidth="1"/>
    <col min="175" max="175" width="13.44140625" style="106" customWidth="1"/>
    <col min="176" max="176" width="13.88671875" style="106" customWidth="1"/>
    <col min="177" max="177" width="19" style="106" customWidth="1"/>
    <col min="178" max="178" width="13.88671875" style="106" customWidth="1"/>
    <col min="179" max="180" width="19" style="106" customWidth="1"/>
    <col min="181" max="182" width="13.88671875" style="106" hidden="1" customWidth="1"/>
    <col min="183" max="185" width="11.44140625" style="106" hidden="1" customWidth="1"/>
    <col min="186" max="16384" width="11.44140625" style="106"/>
  </cols>
  <sheetData>
    <row r="1" spans="1:186" s="168" customFormat="1" ht="17.25" customHeight="1" x14ac:dyDescent="0.3">
      <c r="A1" s="167">
        <v>1</v>
      </c>
      <c r="B1" s="167">
        <v>2</v>
      </c>
      <c r="C1" s="167">
        <v>3</v>
      </c>
      <c r="D1" s="167">
        <v>4</v>
      </c>
      <c r="E1" s="167">
        <v>5</v>
      </c>
      <c r="F1" s="167">
        <v>6</v>
      </c>
      <c r="G1" s="167">
        <v>7</v>
      </c>
      <c r="H1" s="167">
        <v>8</v>
      </c>
      <c r="I1" s="167">
        <v>9</v>
      </c>
      <c r="J1" s="167">
        <v>10</v>
      </c>
      <c r="K1" s="167">
        <v>11</v>
      </c>
      <c r="L1" s="167">
        <v>12</v>
      </c>
      <c r="M1" s="167">
        <v>13</v>
      </c>
      <c r="N1" s="167">
        <v>14</v>
      </c>
      <c r="O1" s="167">
        <v>15</v>
      </c>
      <c r="P1" s="167">
        <v>16</v>
      </c>
      <c r="Q1" s="167">
        <v>17</v>
      </c>
      <c r="R1" s="167">
        <v>18</v>
      </c>
      <c r="S1" s="167">
        <v>19</v>
      </c>
      <c r="T1" s="167">
        <v>20</v>
      </c>
      <c r="U1" s="167">
        <v>21</v>
      </c>
      <c r="V1" s="167">
        <v>22</v>
      </c>
      <c r="W1" s="167">
        <v>23</v>
      </c>
      <c r="X1" s="167">
        <v>24</v>
      </c>
      <c r="Y1" s="167">
        <v>25</v>
      </c>
      <c r="Z1" s="167">
        <v>26</v>
      </c>
      <c r="AA1" s="167">
        <v>27</v>
      </c>
      <c r="AB1" s="167">
        <v>28</v>
      </c>
      <c r="AC1" s="167">
        <v>29</v>
      </c>
      <c r="AD1" s="167">
        <v>30</v>
      </c>
      <c r="AE1" s="167">
        <v>31</v>
      </c>
      <c r="AF1" s="167">
        <v>32</v>
      </c>
      <c r="AG1" s="167">
        <v>33</v>
      </c>
      <c r="AH1" s="167">
        <v>34</v>
      </c>
      <c r="AI1" s="167">
        <v>35</v>
      </c>
      <c r="AJ1" s="167">
        <v>36</v>
      </c>
      <c r="AK1" s="167">
        <v>37</v>
      </c>
      <c r="AL1" s="167">
        <v>38</v>
      </c>
      <c r="AM1" s="167">
        <v>39</v>
      </c>
      <c r="AN1" s="167">
        <v>40</v>
      </c>
      <c r="AO1" s="167">
        <v>41</v>
      </c>
      <c r="AP1" s="167">
        <v>42</v>
      </c>
      <c r="AQ1" s="167">
        <v>43</v>
      </c>
      <c r="AR1" s="167">
        <v>44</v>
      </c>
      <c r="AS1" s="167">
        <v>45</v>
      </c>
      <c r="AT1" s="167">
        <v>46</v>
      </c>
      <c r="AU1" s="167">
        <v>47</v>
      </c>
      <c r="AV1" s="167">
        <v>48</v>
      </c>
      <c r="AW1" s="167">
        <v>49</v>
      </c>
      <c r="AX1" s="167">
        <v>50</v>
      </c>
      <c r="AY1" s="167">
        <v>51</v>
      </c>
      <c r="AZ1" s="167">
        <v>52</v>
      </c>
      <c r="BA1" s="167">
        <v>53</v>
      </c>
      <c r="BB1" s="167">
        <v>54</v>
      </c>
      <c r="BC1" s="167">
        <v>55</v>
      </c>
      <c r="BD1" s="167">
        <v>56</v>
      </c>
      <c r="BE1" s="167">
        <v>57</v>
      </c>
      <c r="BF1" s="167">
        <v>58</v>
      </c>
      <c r="BG1" s="167">
        <v>59</v>
      </c>
      <c r="BH1" s="167">
        <v>60</v>
      </c>
      <c r="BI1" s="167">
        <v>61</v>
      </c>
      <c r="BJ1" s="167">
        <v>62</v>
      </c>
      <c r="BK1" s="167">
        <v>63</v>
      </c>
      <c r="BL1" s="167">
        <v>64</v>
      </c>
      <c r="BM1" s="167">
        <v>65</v>
      </c>
      <c r="BN1" s="167">
        <v>66</v>
      </c>
      <c r="BO1" s="167">
        <v>67</v>
      </c>
      <c r="BP1" s="167">
        <v>68</v>
      </c>
      <c r="BQ1" s="167">
        <v>69</v>
      </c>
      <c r="BR1" s="167">
        <v>70</v>
      </c>
      <c r="BS1" s="167">
        <v>71</v>
      </c>
      <c r="BT1" s="167">
        <v>72</v>
      </c>
      <c r="BU1" s="167">
        <v>73</v>
      </c>
      <c r="BV1" s="167">
        <v>74</v>
      </c>
      <c r="BW1" s="167">
        <v>75</v>
      </c>
      <c r="BX1" s="167">
        <v>76</v>
      </c>
      <c r="BY1" s="167">
        <v>77</v>
      </c>
      <c r="BZ1" s="167">
        <v>78</v>
      </c>
      <c r="CA1" s="167">
        <v>79</v>
      </c>
      <c r="CB1" s="167">
        <v>80</v>
      </c>
      <c r="CC1" s="167">
        <v>81</v>
      </c>
      <c r="CD1" s="167">
        <v>82</v>
      </c>
      <c r="CE1" s="167">
        <v>83</v>
      </c>
      <c r="CF1" s="167">
        <v>84</v>
      </c>
      <c r="CG1" s="167">
        <v>85</v>
      </c>
      <c r="CH1" s="167">
        <v>86</v>
      </c>
      <c r="CI1" s="167">
        <v>87</v>
      </c>
      <c r="CJ1" s="167">
        <v>88</v>
      </c>
      <c r="CK1" s="167">
        <v>89</v>
      </c>
      <c r="CL1" s="167">
        <v>90</v>
      </c>
      <c r="CM1" s="167">
        <v>91</v>
      </c>
      <c r="CN1" s="167">
        <v>92</v>
      </c>
      <c r="CO1" s="167">
        <v>93</v>
      </c>
      <c r="CP1" s="167">
        <v>94</v>
      </c>
      <c r="CQ1" s="167">
        <v>95</v>
      </c>
      <c r="CR1" s="167">
        <v>96</v>
      </c>
      <c r="CS1" s="167">
        <v>97</v>
      </c>
      <c r="CT1" s="167">
        <v>98</v>
      </c>
      <c r="CU1" s="167">
        <v>99</v>
      </c>
      <c r="CV1" s="167">
        <v>100</v>
      </c>
      <c r="CW1" s="167">
        <v>101</v>
      </c>
      <c r="CX1" s="167">
        <v>102</v>
      </c>
      <c r="CY1" s="167">
        <v>103</v>
      </c>
      <c r="CZ1" s="167">
        <v>104</v>
      </c>
      <c r="DA1" s="167">
        <v>105</v>
      </c>
      <c r="DB1" s="167">
        <v>106</v>
      </c>
      <c r="DC1" s="167">
        <v>107</v>
      </c>
      <c r="DD1" s="167">
        <v>108</v>
      </c>
      <c r="DE1" s="167">
        <v>109</v>
      </c>
      <c r="DF1" s="167">
        <v>110</v>
      </c>
      <c r="DG1" s="167">
        <v>111</v>
      </c>
      <c r="DH1" s="167">
        <v>112</v>
      </c>
      <c r="DI1" s="167">
        <v>113</v>
      </c>
      <c r="DJ1" s="167">
        <v>114</v>
      </c>
      <c r="DK1" s="167">
        <v>115</v>
      </c>
      <c r="DL1" s="167">
        <v>116</v>
      </c>
      <c r="DM1" s="167">
        <v>117</v>
      </c>
      <c r="DN1" s="167">
        <v>118</v>
      </c>
      <c r="DO1" s="167">
        <v>119</v>
      </c>
      <c r="DP1" s="167">
        <v>120</v>
      </c>
      <c r="DQ1" s="167">
        <v>121</v>
      </c>
      <c r="DR1" s="167">
        <v>122</v>
      </c>
      <c r="DS1" s="167">
        <v>123</v>
      </c>
      <c r="DT1" s="167">
        <v>124</v>
      </c>
      <c r="DU1" s="167">
        <v>125</v>
      </c>
      <c r="DV1" s="167">
        <v>126</v>
      </c>
      <c r="DW1" s="167">
        <v>127</v>
      </c>
      <c r="DX1" s="167">
        <v>128</v>
      </c>
      <c r="DY1" s="167">
        <v>129</v>
      </c>
      <c r="DZ1" s="167">
        <v>130</v>
      </c>
      <c r="EA1" s="167">
        <v>131</v>
      </c>
      <c r="EB1" s="167">
        <v>132</v>
      </c>
      <c r="EC1" s="167">
        <v>133</v>
      </c>
      <c r="ED1" s="167">
        <v>134</v>
      </c>
      <c r="EE1" s="167">
        <v>135</v>
      </c>
      <c r="EF1" s="167">
        <v>136</v>
      </c>
      <c r="EG1" s="167">
        <v>137</v>
      </c>
      <c r="EH1" s="167">
        <v>138</v>
      </c>
      <c r="EI1" s="167">
        <v>139</v>
      </c>
      <c r="EJ1" s="167">
        <v>140</v>
      </c>
      <c r="EK1" s="167">
        <v>141</v>
      </c>
      <c r="EL1" s="167">
        <v>142</v>
      </c>
      <c r="EM1" s="167">
        <v>143</v>
      </c>
      <c r="EN1" s="167">
        <v>144</v>
      </c>
      <c r="EO1" s="167">
        <v>145</v>
      </c>
      <c r="EP1" s="167">
        <v>146</v>
      </c>
      <c r="EQ1" s="167">
        <v>147</v>
      </c>
      <c r="ER1" s="167">
        <v>148</v>
      </c>
      <c r="ES1" s="167">
        <v>149</v>
      </c>
      <c r="ET1" s="167">
        <v>150</v>
      </c>
      <c r="EU1" s="167">
        <v>151</v>
      </c>
      <c r="EV1" s="167">
        <v>152</v>
      </c>
      <c r="EW1" s="167">
        <v>153</v>
      </c>
      <c r="EX1" s="167">
        <v>154</v>
      </c>
      <c r="EY1" s="167">
        <v>155</v>
      </c>
      <c r="EZ1" s="167">
        <v>156</v>
      </c>
      <c r="FA1" s="167">
        <v>157</v>
      </c>
      <c r="FB1" s="167">
        <v>158</v>
      </c>
      <c r="FC1" s="167">
        <v>159</v>
      </c>
      <c r="FD1" s="167">
        <v>160</v>
      </c>
      <c r="FE1" s="167">
        <v>161</v>
      </c>
      <c r="FF1" s="167">
        <v>162</v>
      </c>
      <c r="FG1" s="167">
        <v>163</v>
      </c>
      <c r="FH1" s="167">
        <v>164</v>
      </c>
      <c r="FI1" s="167">
        <v>165</v>
      </c>
      <c r="FJ1" s="167">
        <v>166</v>
      </c>
      <c r="FK1" s="167">
        <v>167</v>
      </c>
      <c r="FL1" s="167">
        <v>168</v>
      </c>
      <c r="FM1" s="167">
        <v>169</v>
      </c>
      <c r="FN1" s="167">
        <v>170</v>
      </c>
      <c r="FO1" s="167">
        <v>171</v>
      </c>
      <c r="FP1" s="167">
        <v>172</v>
      </c>
      <c r="FQ1" s="167">
        <v>173</v>
      </c>
      <c r="FR1" s="167">
        <v>174</v>
      </c>
      <c r="FS1" s="167">
        <v>175</v>
      </c>
      <c r="FT1" s="167">
        <v>176</v>
      </c>
      <c r="FU1" s="167">
        <v>177</v>
      </c>
      <c r="FV1" s="167">
        <v>178</v>
      </c>
      <c r="FW1" s="167">
        <v>179</v>
      </c>
      <c r="FX1" s="167">
        <v>180</v>
      </c>
      <c r="FY1" s="167">
        <v>181</v>
      </c>
      <c r="FZ1" s="168">
        <v>182</v>
      </c>
      <c r="GA1" s="168">
        <v>183</v>
      </c>
      <c r="GB1" s="168">
        <v>184</v>
      </c>
      <c r="GC1" s="168">
        <v>185</v>
      </c>
      <c r="GD1" s="168">
        <v>186</v>
      </c>
    </row>
    <row r="2" spans="1:186" s="189" customFormat="1" ht="103.5" customHeight="1" x14ac:dyDescent="0.3">
      <c r="A2" s="169" t="str">
        <f>VLOOKUP(Start!$H$20,Header_Data!$A3:$GZ32,2,FALSE)</f>
        <v>1. Steuerzeichen, neuer Artikel beginnt</v>
      </c>
      <c r="B2" s="170" t="str">
        <f>VLOOKUP(Start!$H$20,Header_Data!$A3:$GZ32,3,FALSE)</f>
        <v>2. Ansprechpartner</v>
      </c>
      <c r="C2" s="171"/>
      <c r="D2" s="171"/>
      <c r="E2" s="170" t="str">
        <f>VLOOKUP(Start!$H$20,Header_Data!$A3:$GZ32,6,FALSE)</f>
        <v>3. Datum der Gültigkeit des Artikeldatensatzes</v>
      </c>
      <c r="F2" s="170" t="str">
        <f>VLOOKUP(Start!$H$20,Header_Data!$A3:$GZ32,7,FALSE)</f>
        <v>4. Status</v>
      </c>
      <c r="G2" s="169" t="str">
        <f>VLOOKUP(Start!$H$20,Header_Data!$A3:$GZ32,8,FALSE)</f>
        <v xml:space="preserve">4.1. Exakte Lieferanten-Artikelnummer des Vorgängerartikels </v>
      </c>
      <c r="H2" s="169" t="str">
        <f>VLOOKUP(Start!$H$20,Header_Data!$A3:$GZ32,9,FALSE)</f>
        <v>4.2. Artikelveröffentlichung zugelassen ab</v>
      </c>
      <c r="I2" s="169" t="str">
        <f>VLOOKUP(Start!$H$20,Header_Data!$A3:$GZ32,10,FALSE)</f>
        <v>4.3. Artikel lieferbar ab</v>
      </c>
      <c r="J2" s="169" t="str">
        <f>VLOOKUP(Start!$H$20,Header_Data!$A3:$GZ32,11,FALSE)</f>
        <v>4.4. Verpackungsart des Artikels?</v>
      </c>
      <c r="K2" s="170" t="str">
        <f>VLOOKUP(Start!$H$20,Header_Data!$A3:$GZ32,12,FALSE)</f>
        <v>5. Auslaufartikel</v>
      </c>
      <c r="L2" s="169" t="str">
        <f>VLOOKUP(Start!$H$20,Header_Data!$A3:$GZ32,13,FALSE)</f>
        <v>5.1. Auslaufartikel lieferbar bis</v>
      </c>
      <c r="M2" s="169" t="str">
        <f>VLOOKUP(Start!$H$20,Header_Data!$A3:$GZ32,14,FALSE)</f>
        <v>5.2. Exakte Lieferanten-Artikelnummer des Alternativartikels</v>
      </c>
      <c r="N2" s="170" t="str">
        <f>VLOOKUP(Start!$H$20,Header_Data!$A3:$GZ32,15,FALSE)</f>
        <v>6. Lieferantenname</v>
      </c>
      <c r="O2" s="170" t="str">
        <f>VLOOKUP(Start!$H$20,Header_Data!$A3:$GZ32,16,FALSE)</f>
        <v>7. Exakte Lieferanten-Artikelnummer</v>
      </c>
      <c r="P2" s="170" t="str">
        <f>VLOOKUP(Start!$H$20,Header_Data!$A3:$GZ32,17,FALSE)</f>
        <v>8. Exakte Artikelbezeichnung</v>
      </c>
      <c r="Q2" s="170" t="str">
        <f>VLOOKUP(Start!$H$20,Header_Data!$A3:$GZ32,18,FALSE)</f>
        <v>9. Herstellername</v>
      </c>
      <c r="R2" s="170" t="str">
        <f>VLOOKUP(Start!$H$20,Header_Data!$A3:$GZ32,19,FALSE)</f>
        <v>10. Exakte Hersteller-Artikelnummer</v>
      </c>
      <c r="S2" s="170" t="str">
        <f>VLOOKUP(Start!$H$20,Header_Data!$A3:$GZ32,20,FALSE)</f>
        <v>11. Produktzulassung zum Vertrieb gemäß den einschlägigen gesetzlichen oder behördlichen Bestimmungen besteht für folgende Länder:</v>
      </c>
      <c r="T2" s="170" t="str">
        <f>VLOOKUP(Start!$H$20,Header_Data!$A3:$GZ32,21,FALSE)</f>
        <v>12. CE-Kennzeichnung auf dem Produkt vorhanden [innen (i), außen (o)]?</v>
      </c>
      <c r="U2" s="170" t="str">
        <f>VLOOKUP(Start!$H$20,Header_Data!$A3:$GZ32,22,FALSE)</f>
        <v>13. Hat das Produkt einen Barcode/UDI-DI?</v>
      </c>
      <c r="V2" s="169" t="str">
        <f>VLOOKUP(Start!$H$20,Header_Data!$A3:$GZ32,23,FALSE)</f>
        <v>13.1.1. GTIN / EAN - kleinste Verkaufseinheit
(Global Trade Item Number / European Article Number)</v>
      </c>
      <c r="W2" s="169" t="str">
        <f>VLOOKUP(Start!$H$20,Header_Data!$A3:$GZ32,24,FALSE)</f>
        <v>13.1.2. GTIN / EAN - Pack
(Global Trade Item Number / European Article Number)</v>
      </c>
      <c r="X2" s="169" t="str">
        <f>VLOOKUP(Start!$H$20,Header_Data!$A3:$GZ32,25,FALSE)</f>
        <v>13.1.3. GTIN / EAN - Karton
(Global Trade Item Number / European Article Number)</v>
      </c>
      <c r="Y2" s="169" t="str">
        <f>VLOOKUP(Start!$H$20,Header_Data!$A3:$GZ32,26,FALSE)</f>
        <v>13.1.4. GTIN / EAN - Palette
(Global Trade Item Number / European Article Number)</v>
      </c>
      <c r="Z2" s="169" t="str">
        <f>VLOOKUP(Start!$H$20,Header_Data!$A3:$GZ32,27,FALSE)</f>
        <v>13.2.1 HIBC - Kleinste Verkaufseinheit
(Health Industry Bar Code)</v>
      </c>
      <c r="AA2" s="169" t="str">
        <f>VLOOKUP(Start!$H$20,Header_Data!$A3:$GZ32,28,FALSE)</f>
        <v>13.2.2 HIBC - Pack
(Health Industry Bar Code)</v>
      </c>
      <c r="AB2" s="169" t="str">
        <f>VLOOKUP(Start!$H$20,Header_Data!$A3:$GZ32,29,FALSE)</f>
        <v>13.2.3 HIBC - Karton
(Health Industry Bar Code)</v>
      </c>
      <c r="AC2" s="169" t="str">
        <f>VLOOKUP(Start!$H$20,Header_Data!$A3:$GZ32,30,FALSE)</f>
        <v>13.2.4 HIBC - Palette
(Health Industry Bar Code)</v>
      </c>
      <c r="AD2" s="169" t="str">
        <f>VLOOKUP(Start!$H$20,Header_Data!$A3:$GZ32,31,FALSE)</f>
        <v>13.3. PPN (Pharmacy Product Number)</v>
      </c>
      <c r="AE2" s="169" t="str">
        <f>VLOOKUP(Start!$H$20,Header_Data!$A3:$GZ32,32,FALSE)</f>
        <v>13.4. PZN DE (Pharmazentralnummer)</v>
      </c>
      <c r="AF2" s="170" t="str">
        <f>VLOOKUP(Start!$H$20,Header_Data!$A3:$GZ32,33,FALSE)</f>
        <v>14. eCl@ss-Code</v>
      </c>
      <c r="AG2" s="169" t="str">
        <f>VLOOKUP(Start!$H$20,Header_Data!$A3:$GZ32,34,FALSE)</f>
        <v>14.1. eCl@ss-Version</v>
      </c>
      <c r="AH2" s="170" t="str">
        <f>VLOOKUP(Start!$H$20,Header_Data!$A3:$GZ32,35,FALSE)</f>
        <v>15. In welchem Medizinbereich erfolgt die Anwendung des Artikels?</v>
      </c>
      <c r="AI2" s="170" t="str">
        <f>VLOOKUP(Start!$H$20,Header_Data!$A3:$GZ32,36,FALSE)</f>
        <v>16. Einsatzort des Produktes</v>
      </c>
      <c r="AJ2" s="170" t="str">
        <f>VLOOKUP(Start!$H$20,Header_Data!$A3:$GZ32,37,FALSE)</f>
        <v>17. Ist Artikel ein Steril-Produkt?</v>
      </c>
      <c r="AK2" s="170" t="str">
        <f>VLOOKUP([1]Start!$H$20,[1]Header_Data!$A3:$GZ32,38,FALSE)</f>
        <v>18. Etikett/Produktverpackung ist sprachneutral
(nur Eigenname und Piktogramme angedruckt)</v>
      </c>
      <c r="AL2" s="169" t="str">
        <f>VLOOKUP([1]Start!$H$20,[1]Header_Data!$A3:$GZ32,39,FALSE)</f>
        <v>18.1. Folgende Sprachen werden auf dem Etikett/Produktverpackung verwendet</v>
      </c>
      <c r="AM2" s="170" t="str">
        <f>VLOOKUP([1]Start!$H$20,[1]Header_Data!$A3:$GZ32,40,FALSE)</f>
        <v>19. Wird eine Gebrauchsanweisung benötigt?</v>
      </c>
      <c r="AN2" s="169" t="str">
        <f>VLOOKUP([1]Start!$H$20,[1]Header_Data!$A3:$GZ32,41,FALSE)</f>
        <v>19.1. Folgende Sprachen sind in der Gebrauchsanweisung enthalten:</v>
      </c>
      <c r="AO2" s="170" t="str">
        <f>VLOOKUP(Start!$H$20,Header_Data!$A3:$GZ32,42,FALSE)</f>
        <v>20. Hat der Artikel hat eine Beschränkung in den Lager- und Transporttemperaturen?</v>
      </c>
      <c r="AP2" s="172" t="str">
        <f>VLOOKUP(Start!$H$20,Header_Data!$A3:$GZ32,43,FALSE)</f>
        <v>20.1. Lagertemperatur</v>
      </c>
      <c r="AQ2" s="173"/>
      <c r="AR2" s="172" t="str">
        <f>VLOOKUP(Start!$H$20,Header_Data!$A3:$GZ32,45,FALSE)</f>
        <v>20.2. Transporttemperatur</v>
      </c>
      <c r="AS2" s="173"/>
      <c r="AT2" s="169" t="str">
        <f>VLOOKUP(Start!$H$20,Header_Data!$A3:$GZ32,47,FALSE)</f>
        <v>20.3. Maximal zulässige Dauer der Transporttemperatur</v>
      </c>
      <c r="AU2" s="169" t="str">
        <f>VLOOKUP(Start!$H$20,Header_Data!$A3:$GZ32,48,FALSE)</f>
        <v>20.4. Artikel ist frostempfindlich</v>
      </c>
      <c r="AV2" s="170" t="str">
        <f>VLOOKUP([1]Start!$H$20,[1]Header_Data!$A3:$GZ32,49,FALSE)</f>
        <v>21. Ist der Artikel ein Arzneimittel?</v>
      </c>
      <c r="AW2" s="169" t="str">
        <f>VLOOKUP([1]Start!$H$20,[1]Header_Data!$A3:$GZ32,50,FALSE)</f>
        <v xml:space="preserve">21.1. Artikel ist ein Betäubungsmittel? </v>
      </c>
      <c r="AX2" s="169" t="str">
        <f>VLOOKUP([1]Start!$H$20,[1]Header_Data!$A3:$GZ32,51,FALSE)</f>
        <v>21.2. Artikel ist ein Fertigarzneimittel?</v>
      </c>
      <c r="AY2" s="169" t="str">
        <f>VLOOKUP([1]Start!$H$20,[1]Header_Data!$A3:$GZ32,52,FALSE)</f>
        <v>21.3. Artikel dient zum Ersatz oder zur Korrektur von Körperflüssigkeiten?</v>
      </c>
      <c r="AZ2" s="169" t="str">
        <f>VLOOKUP([1]Start!$H$20,[1]Header_Data!$A3:$GZ32,53,FALSE)</f>
        <v>21.4. Artikel ist nur zur Anwendung in der Zahnheilkunde?</v>
      </c>
      <c r="BA2" s="169" t="str">
        <f>VLOOKUP([1]Start!$H$20,[1]Header_Data!$A3:$GZ32,54,FALSE)</f>
        <v>21.5. Artikel ist apothekenpflichtig?</v>
      </c>
      <c r="BB2" s="169" t="str">
        <f>VLOOKUP([1]Start!$H$20,[1]Header_Data!$A3:$GZ32,55,FALSE)</f>
        <v>21.6. Artikel ist verschreibungs- pflichtig?</v>
      </c>
      <c r="BC2" s="169" t="str">
        <f>VLOOKUP([1]Start!$H$20,[1]Header_Data!$A3:$GZ32,56,FALSE)</f>
        <v>21.7. Artikel ist freiverkäuflich?</v>
      </c>
      <c r="BD2" s="169" t="str">
        <f>VLOOKUP([1]Start!$H$20,[1]Header_Data!$A3:$GZ32,57,FALSE)</f>
        <v>21.8. Produkt unterliegt dem GKV-WSG vom 01.04.2007?
(Gesetz zur Stärkung des Wettbewerbs in der gesetzlichen Krankenversicherung)</v>
      </c>
      <c r="BE2" s="169" t="str">
        <f>VLOOKUP([1]Start!$H$20,[1]Header_Data!$A3:$GZ32,58,FALSE)</f>
        <v>21.9. Vertrieb nur an Personen mit humanmedizinischer Grundausbildung?</v>
      </c>
      <c r="BF2" s="169" t="str">
        <f>VLOOKUP([1]Start!$H$20,[1]Header_Data!$A3:$GZ32,59,FALSE)</f>
        <v>21.10. Arzneimittel ist für folgende Länder zugelassen:</v>
      </c>
      <c r="BG2" s="169" t="str">
        <f>VLOOKUP([1]Start!$H$20,[1]Header_Data!$A3:$GZ32,60,FALSE)</f>
        <v xml:space="preserve">21.11. Zulassungsnummer des Arzneimittels </v>
      </c>
      <c r="BH2" s="170" t="str">
        <f>VLOOKUP([1]Start!$H$20,[1]Header_Data!$A3:$GZ32,61,FALSE)</f>
        <v>22. Artikel ist ein Medizinprodukt?</v>
      </c>
      <c r="BI2" s="169" t="str">
        <f>VLOOKUP([1]Start!$H$20,[1]Header_Data!$A3:$GZ32,62,FALSE)</f>
        <v xml:space="preserve">22.1. Klasse des Medizinproduktes </v>
      </c>
      <c r="BJ2" s="169" t="str">
        <f>VLOOKUP([1]Start!$H$20,[1]Header_Data!$A3:$GZ32,63,FALSE)</f>
        <v>22.2. Produkt fällt unter die MPAV?
(Medizinprodukte-Abgabeverordnung)</v>
      </c>
      <c r="BK2" s="169" t="str">
        <f>VLOOKUP([1]Start!$H$20,[1]Header_Data!$A3:$GZ32,64,FALSE)</f>
        <v>22.3. Produkt ist Verbrauchsmaterial als Sprechstundenbedarf? 
(nur Fluoridierungsprodukte)</v>
      </c>
      <c r="BL2" s="170" t="str">
        <f>VLOOKUP([1]Start!$H$20,[1]Header_Data!$A3:$GZ32,65,FALSE)</f>
        <v>23. Artikel ist ein Ersatzteil?</v>
      </c>
      <c r="BM2" s="169" t="str">
        <f>VLOOKUP([1]Start!$H$20,[1]Header_Data!$A3:$GZ32,66,FALSE)</f>
        <v xml:space="preserve">23.1. Rücksendepflichtiger Reparatur-Austausch ? </v>
      </c>
      <c r="BN2" s="170" t="str">
        <f>VLOOKUP(Start!$H$20,Header_Data!$A3:$GZ32,67,FALSE)</f>
        <v>24. Artikel ist ein Biozid?</v>
      </c>
      <c r="BO2" s="169" t="str">
        <f>VLOOKUP(Start!$H$20,Header_Data!$A3:$GZ32,68,FALSE)</f>
        <v>24.1 BAUA-Registriernummer
(Bundesanstalt für Arbeitsschutz und Arbeitsmedizin)</v>
      </c>
      <c r="BP2" s="170" t="str">
        <f>VLOOKUP(Start!$H$20,Header_Data!$A3:$GZ32,69,FALSE)</f>
        <v>25. Artikel ist ein Lebensmittel?</v>
      </c>
      <c r="BQ2" s="170" t="str">
        <f>VLOOKUP(Start!$H$20,Header_Data!$A3:$GZ32,70,FALSE)</f>
        <v>26. Artikel ist ein Kosmetikprodukt?</v>
      </c>
      <c r="BR2" s="170" t="str">
        <f>VLOOKUP(Start!$H$20,Header_Data!$A3:$GZ32,71,FALSE)</f>
        <v>27. VOC-Gehalt angeben
(Flüchtige Organische Verbindungen)</v>
      </c>
      <c r="BS2" s="170" t="str">
        <f>VLOOKUP(Start!$H$20,Header_Data!$A3:$GZ32,72,FALSE)</f>
        <v>28. Sicherheitsdatenblatt (SDB) vorhanden?</v>
      </c>
      <c r="BT2" s="169" t="str">
        <f>VLOOKUP(Start!$H$20,Header_Data!$A3:$GZ32,73,FALSE)</f>
        <v xml:space="preserve">28.1. Aktuelles Überarbeitungsdatum des Sicherheitsdatenblattes </v>
      </c>
      <c r="BU2" s="169" t="str">
        <f>VLOOKUP(Start!$H$20,Header_Data!$A3:$GZ32,74,FALSE)</f>
        <v>28.2. Artikel fällt unter die Chemikalien- Verbotsverordnung (ChemVerbotsV)?</v>
      </c>
      <c r="BV2" s="170" t="str">
        <f>VLOOKUP(Start!$H$20,Header_Data!$A3:$GZ32,75,FALSE)</f>
        <v xml:space="preserve">29. Artikel ist ein Gefahrgut? </v>
      </c>
      <c r="BW2" s="169" t="str">
        <f>VLOOKUP(Start!$H$20,Header_Data!$A3:$GZ32,76,FALSE)</f>
        <v>29.1. Artikel fällt unter Limited Quantity (LQ, Begrenzte Menge)</v>
      </c>
      <c r="BX2" s="169" t="str">
        <f>VLOOKUP(Start!$H$20,Header_Data!$A3:$GZ32,77,FALSE)</f>
        <v>29.2. Gefahrgutklasse nach ADR</v>
      </c>
      <c r="BY2" s="169" t="str">
        <f>VLOOKUP(Start!$H$20,Header_Data!$A3:$GZ32,78,FALSE)</f>
        <v>29.3. Benennung und Beschreibung lt. ADR-Tabelle</v>
      </c>
      <c r="BZ2" s="169" t="str">
        <f>VLOOKUP(Start!$H$20,Header_Data!$A3:$GZ32,79,FALSE)</f>
        <v xml:space="preserve">29.4. UN-Nummer </v>
      </c>
      <c r="CA2" s="169" t="str">
        <f>VLOOKUP(Start!$H$20,Header_Data!$A3:$GZ32,80,FALSE)</f>
        <v>29.5. Nummer zur Kennzeichnung der Gefahr</v>
      </c>
      <c r="CB2" s="169" t="str">
        <f>VLOOKUP(Start!$H$20,Header_Data!$A3:$GZ32,81,FALSE)</f>
        <v>29.6. Beförderungs- kategorie</v>
      </c>
      <c r="CC2" s="169" t="str">
        <f>VLOOKUP(Start!$H$20,Header_Data!$A3:$GZ32,82,FALSE)</f>
        <v>29.7. Verpackungs- gruppe</v>
      </c>
      <c r="CD2" s="169" t="str">
        <f>VLOOKUP(Start!$H$20,Header_Data!$A3:$GZ32,83,FALSE)</f>
        <v>29.8. Abfallschlüssel (für Produkt)</v>
      </c>
      <c r="CE2" s="169" t="str">
        <f>VLOOKUP(Start!$H$20,Header_Data!$A3:$GZ32,84,FALSE)</f>
        <v>29.9. Lagerklasse</v>
      </c>
      <c r="CF2" s="169" t="str">
        <f>VLOOKUP(Start!$H$20,Header_Data!$A3:$GZ32,85,FALSE)</f>
        <v>29.10. Klassifizierungscode</v>
      </c>
      <c r="CG2" s="169" t="str">
        <f>VLOOKUP(Start!$H$20,Header_Data!$A3:$GZ32,86,FALSE)</f>
        <v>29.11. Tunnelbeschränkungs- code</v>
      </c>
      <c r="CH2" s="169" t="str">
        <f>VLOOKUP(Start!$H$20,Header_Data!$A3:$GZ32,87,FALSE)</f>
        <v>29.12. Gefahrzettel</v>
      </c>
      <c r="CI2" s="169" t="str">
        <f>VLOOKUP(Start!$H$20,Header_Data!$A3:$GZ32,88,FALSE)</f>
        <v>29.13. Inhalt pro Innenverpackung</v>
      </c>
      <c r="CJ2" s="169" t="str">
        <f>VLOOKUP(Start!$H$20,Header_Data!$A3:$GZ32,89,FALSE)</f>
        <v>29.14. Verpackungsart</v>
      </c>
      <c r="CK2" s="169" t="str">
        <f>VLOOKUP(Start!$H$20,Header_Data!$A3:$GZ32,90,FALSE)</f>
        <v>29.15. Umwelt- gefährdung</v>
      </c>
      <c r="CL2" s="169" t="str">
        <f>VLOOKUP(Start!$H$20,Header_Data!$A3:$GZ32,91,FALSE)</f>
        <v>29.16. Wassergefährdungsklasse (WGK) in DE</v>
      </c>
      <c r="CM2" s="169" t="str">
        <f>VLOOKUP(Start!$H$20,Header_Data!$A3:$GZ32,92,FALSE)</f>
        <v>29.17. Produkt enthält per- oder teilfluorierte Kohlenwasserstoffe (FKW und HFKW)</v>
      </c>
      <c r="CN2" s="170" t="str">
        <f>VLOOKUP(Start!$H$20,Header_Data!$A3:$GZ32,93,FALSE)</f>
        <v>30. Verpackung hat eine von außen deutlich erkennbare Chargenkennzeichnung/LOT?</v>
      </c>
      <c r="CO2" s="170" t="str">
        <f>VLOOKUP(Start!$H$20,Header_Data!$A3:$GZ32,94,FALSE)</f>
        <v>31. Artikel hat eine Verfallszeit?</v>
      </c>
      <c r="CP2" s="169" t="str">
        <f>VLOOKUP(Start!$H$20,Header_Data!$A3:$GZ32,95,FALSE)</f>
        <v>31.1. Verpackung hat ein von außen deutlich erkennbares Verfalldatum?</v>
      </c>
      <c r="CQ2" s="169" t="str">
        <f>VLOOKUP(Start!$H$20,Header_Data!$A3:$GZ32,96,FALSE)</f>
        <v>31.2. Verwendungszeit nach Anbruch auf der Verpackung angedruckt?</v>
      </c>
      <c r="CR2" s="169" t="str">
        <f>VLOOKUP(Start!$H$20,Header_Data!$A3:$GZ32,97,FALSE)</f>
        <v>31.3. Verpackung hat ein von außen deutlich erkennbares Herstelldatum?</v>
      </c>
      <c r="CS2" s="170" t="str">
        <f>VLOOKUP(Start!$H$20,Header_Data!$A3:$GZ32,98,FALSE)</f>
        <v>32. Artikel ist ein Gerät?</v>
      </c>
      <c r="CT2" s="174" t="str">
        <f>VLOOKUP(Start!$H$20,Header_Data!$A3:$GZ32,99,FALSE)</f>
        <v>32.1. Exakte Maße des Gerätes (ohne Umverpackung)</v>
      </c>
      <c r="CU2" s="175"/>
      <c r="CV2" s="176"/>
      <c r="CW2" s="169" t="str">
        <f>VLOOKUP(Start!$H$20,Header_Data!$A3:$GZ32,102,FALSE)</f>
        <v>32.2. Fassungsvermögen des Gerätes?</v>
      </c>
      <c r="CX2" s="169" t="str">
        <f>VLOOKUP(Start!$H$20,Header_Data!$A3:$GZ32,103,FALSE)</f>
        <v>32.3. Anwendungs-temperatur?</v>
      </c>
      <c r="CY2" s="169" t="str">
        <f>VLOOKUP(Start!$H$20,Header_Data!$A3:$GZ32,104,FALSE)</f>
        <v>32.4. Leistung?</v>
      </c>
      <c r="CZ2" s="169" t="str">
        <f>VLOOKUP(Start!$H$20,Header_Data!$A3:$GZ32,105,FALSE)</f>
        <v>32.5. Techniker ist zur Installation notwendig?</v>
      </c>
      <c r="DA2" s="177"/>
      <c r="DB2" s="169" t="str">
        <f>VLOOKUP(Start!$H$20,Header_Data!$A3:$GZ32,107,FALSE)</f>
        <v>32.6.1. Anzahl der angedruckten Serialnummern
(Z. B. in einem Set)?</v>
      </c>
      <c r="DC2" s="177" t="s">
        <v>38</v>
      </c>
      <c r="DD2" s="169" t="str">
        <f>VLOOKUP(Start!$H$20,Header_Data!$A3:$GZ32,109,FALSE)</f>
        <v>32.7.1. Artikel ist in Europa nach ElektroG (WEEE) registriert?</v>
      </c>
      <c r="DE2" s="169" t="str">
        <f>VLOOKUP(Start!$H$20,Header_Data!$A3:$GZ32,110,FALSE)</f>
        <v>32.7.2. Artikel ist registrierungspflichtig nach ElektroG (WEEE)?</v>
      </c>
      <c r="DF2" s="177"/>
      <c r="DG2" s="169" t="str">
        <f>VLOOKUP(Start!$H$20,Header_Data!$A3:$GZ32,112,FALSE)</f>
        <v>32.8.1. Artikel ist in Deutschland nach dem BattG registriert?</v>
      </c>
      <c r="DH2" s="169" t="str">
        <f>VLOOKUP(Start!$H$20,Header_Data!$A3:$GZ32,113,FALSE)</f>
        <v>32.8.2. Batterie-/Akkutyp:</v>
      </c>
      <c r="DI2" s="169" t="str">
        <f>VLOOKUP(Start!$H$20,Header_Data!$A3:$GZ32,114,FALSE)</f>
        <v>32.8.3. Anzahl der Batterien/ Akkus:</v>
      </c>
      <c r="DJ2" s="169" t="str">
        <f>VLOOKUP(Start!$H$20,Header_Data!$A3:$GZ32,115,FALSE)</f>
        <v>32.8.4. Batterien/ Akkus sind fest verbaut?</v>
      </c>
      <c r="DK2" s="170" t="str">
        <f>VLOOKUP(Start!$H$20,Header_Data!$A3:$GZ32,116,FALSE)</f>
        <v>33. Artikel hat Garantie oder Gewährleistung?</v>
      </c>
      <c r="DL2" s="169" t="str">
        <f>VLOOKUP(Start!$H$20,Header_Data!$A3:$GZ32,117,FALSE)</f>
        <v>33.1. Gewährleistungsdauer nach Lieferung an Handel:</v>
      </c>
      <c r="DM2" s="169" t="str">
        <f>VLOOKUP(Start!$H$20,Header_Data!$A3:$GZ32,118,FALSE)</f>
        <v>33.2. Gewährleistungsdauer nach Lieferung an unseren Kunden:</v>
      </c>
      <c r="DN2" s="169" t="str">
        <f>VLOOKUP(Start!$H$20,Header_Data!$A3:$GZ32,119,FALSE)</f>
        <v>33.3. Garantiedauer ab Lieferung an den Handel</v>
      </c>
      <c r="DO2" s="169" t="str">
        <f>VLOOKUP(Start!$H$20,Header_Data!$A3:$GZ32,120,FALSE)</f>
        <v>33.4. Garantiedauer nach Lieferung an unseren Kunden</v>
      </c>
      <c r="DP2" s="170" t="str">
        <f>VLOOKUP(Start!$H$20,Header_Data!$A3:$GZ32,121,FALSE)</f>
        <v>34. Verkaufsverpackung ist durch ein Duales System in Deutschland lizensiert?</v>
      </c>
      <c r="DQ2" s="178" t="str">
        <f>VLOOKUP(Start!$H$20,Header_Data!$A3:$GZ32,122,FALSE)</f>
        <v xml:space="preserve">34.1. Verpackungsgewicht der restentleerten Produktverpackung (Primärverpackung) </v>
      </c>
      <c r="DR2" s="179"/>
      <c r="DS2" s="179"/>
      <c r="DT2" s="179"/>
      <c r="DU2" s="179"/>
      <c r="DV2" s="180"/>
      <c r="DW2" s="169" t="str">
        <f>VLOOKUP(Start!$H$20,Header_Data!$A3:$GZ32,128,FALSE)</f>
        <v>34.2. restentleerte Produktverpackung darf über ein Duales System entsorgt werden?</v>
      </c>
      <c r="DX2" s="178" t="str">
        <f>VLOOKUP(Start!$H$20,Header_Data!$A3:$GZ32,129,FALSE)</f>
        <v>34.3. Verpackungsgewicht der Einzelverpackung (Sekundärverpackung)</v>
      </c>
      <c r="DY2" s="179"/>
      <c r="DZ2" s="179"/>
      <c r="EA2" s="179"/>
      <c r="EB2" s="179"/>
      <c r="EC2" s="180"/>
      <c r="ED2" s="169" t="str">
        <f>VLOOKUP(Start!$H$20,Header_Data!$A3:$GZ32,135,FALSE)</f>
        <v>34.4. Einzelverpackung darf über ein Duales System entsorgt werden?</v>
      </c>
      <c r="EE2" s="178" t="str">
        <f>VLOOKUP(Start!$H$20,Header_Data!$A3:$GZ32,136,FALSE)</f>
        <v xml:space="preserve">34.5. Verpackungsgewicht der Groß-/Bulkverpackung inkl. Füllmaterial (Tertiärverpackung) </v>
      </c>
      <c r="EF2" s="179"/>
      <c r="EG2" s="179"/>
      <c r="EH2" s="179"/>
      <c r="EI2" s="179"/>
      <c r="EJ2" s="180"/>
      <c r="EK2" s="169" t="str">
        <f>VLOOKUP(Start!$H$20,Header_Data!$A3:$GZ32,142,FALSE)</f>
        <v>34.6. Groß-/Bulkverpackung darf über ein Duales System entsorgt werden ?</v>
      </c>
      <c r="EL2" s="170" t="str">
        <f>VLOOKUP(Start!$H$20,Header_Data!$A3:$GZ32,143,FALSE)</f>
        <v>35. Mindest-bestellmenge</v>
      </c>
      <c r="EM2" s="170" t="str">
        <f>VLOOKUP(Start!$H$20,Header_Data!$A3:$GZ32,144,FALSE)</f>
        <v>36. Inhalt pro Einzelverpackung</v>
      </c>
      <c r="EN2" s="181" t="str">
        <f>VLOOKUP(Start!$H$20,Header_Data!$A3:$GZ32,145,FALSE)</f>
        <v>37. Größe und Gewicht der Einzelverpackung</v>
      </c>
      <c r="EO2" s="182"/>
      <c r="EP2" s="182"/>
      <c r="EQ2" s="182"/>
      <c r="ER2" s="183"/>
      <c r="ES2" s="170" t="str">
        <f>VLOOKUP(Start!$H$20,Header_Data!$A3:$GZ32,150,FALSE)</f>
        <v>38. Artikel hat eine Umverpackung?</v>
      </c>
      <c r="ET2" s="169" t="str">
        <f>VLOOKUP(Start!$H$20,Header_Data!$A3:$GZ32,151,FALSE)</f>
        <v>38.1. Umverpackung darf geöffnet und der Artikel ohne diese versendet werden?</v>
      </c>
      <c r="EU2" s="184" t="str">
        <f>VLOOKUP(Start!$H$20,Header_Data!$A3:$GZ32,152,FALSE)</f>
        <v>38.2. Anzahl der Einzelpackungen pro Umverpackung</v>
      </c>
      <c r="EV2" s="185" t="str">
        <f>VLOOKUP(Start!$H$20,Header_Data!$A3:$GZ32,153,FALSE)</f>
        <v>38.3. Größe und Gewicht der Umverpackung inkl. der Einzelpackungen</v>
      </c>
      <c r="EW2" s="186"/>
      <c r="EX2" s="186"/>
      <c r="EY2" s="186"/>
      <c r="EZ2" s="187"/>
      <c r="FA2" s="170" t="str">
        <f>VLOOKUP(Start!$H$20,Header_Data!$A3:$GZ32,158,FALSE)</f>
        <v>39. Gibt es Konfektionierungs-hinweise zu beachten?</v>
      </c>
      <c r="FB2" s="184" t="str">
        <f>VLOOKUP(Start!$H$20,Header_Data!$A3:$GZ32,159,FALSE)</f>
        <v>39.1. Konfektionierungs-hinweise aufführen</v>
      </c>
      <c r="FC2" s="184" t="str">
        <f>VLOOKUP(Start!$H$20,Header_Data!$A3:$GZ32,160,FALSE)</f>
        <v>39.2. Anzahl Artikel pro Palette</v>
      </c>
      <c r="FD2" s="184" t="str">
        <f>VLOOKUP(Start!$H$20,Header_Data!$A3:$GZ32,161,FALSE)</f>
        <v>39.3. Palettenhöhe</v>
      </c>
      <c r="FE2" s="170" t="str">
        <f>VLOOKUP(Start!$H$20,Header_Data!$A3:$GZ32,162,FALSE)</f>
        <v>40. Zolltarif-Nr. / Warentarifnr.
(8-11-stellig)</v>
      </c>
      <c r="FF2" s="170" t="str">
        <f>VLOOKUP(Start!$H$20,Header_Data!$A3:$GZ32,163,FALSE)</f>
        <v>41. Dual-Use-Artikel?
(Nach EG-Dual-Use Verordnung)</v>
      </c>
      <c r="FG2" s="170" t="str">
        <f>VLOOKUP(Start!$H$20,Header_Data!$A3:$GZ32,164,FALSE)</f>
        <v>42. Ursprungsland</v>
      </c>
      <c r="FH2" s="170" t="str">
        <f>VLOOKUP(Start!$H$20,Header_Data!$A3:$GZ32,165,FALSE)</f>
        <v>43. Ursprungs-bundesland/-provinz (falls zutreffend)</v>
      </c>
      <c r="FI2" s="170" t="str">
        <f>VLOOKUP(Start!$H$20,Header_Data!$A3:$GZ32,166,FALSE)</f>
        <v>44. Artikel mit Präferenzursprungs-eigenschaft? (nur anwendbar innerhalb EU)</v>
      </c>
      <c r="FJ2" s="184" t="str">
        <f>VLOOKUP(Start!$H$20,Header_Data!$A3:$GZ32,167,FALSE)</f>
        <v>45. Unverbindliche Preisempfehlung</v>
      </c>
      <c r="FK2" s="184" t="str">
        <f>VLOOKUP(Start!$H$20,Header_Data!$A3:$GZ32,168,FALSE)</f>
        <v>45.1. Rabattgruppe (Zahn, Material, ...)</v>
      </c>
      <c r="FL2" s="170" t="str">
        <f>VLOOKUP(Start!$H$20,Header_Data!$A3:$GZ32,169,FALSE)</f>
        <v>46. Mehrwertsteuersatz für DE (voll oder verringert)</v>
      </c>
      <c r="FM2" s="170" t="str">
        <f>VLOOKUP(Start!$H$20,Header_Data!$A3:$GZ32,170,FALSE)</f>
        <v>47. Besonderheiten und sonstige weitere Informationen zum Artikel aufführen bzw. anhängen</v>
      </c>
      <c r="FN2" s="188" t="str">
        <f>VLOOKUP(Start!$H$20,Header_Data!$A3:$GZ32,171,FALSE)</f>
        <v>47.1. Dateiname des Sicherheitsdatenblattes
(SD)</v>
      </c>
      <c r="FO2" s="188" t="str">
        <f>VLOOKUP(Start!$H$20,Header_Data!$A3:$GZ32,172,FALSE)</f>
        <v>47.2. Dateiname des Bildes 
(BD)</v>
      </c>
      <c r="FP2" s="188" t="str">
        <f>VLOOKUP(Start!$H$20,Header_Data!$A3:$GZ32,173,FALSE)</f>
        <v>47.3. Dateiname der Produktbeschreibung (PB) oder Stückliste (SL)</v>
      </c>
      <c r="FQ2" s="188" t="str">
        <f>VLOOKUP([1]Start!$H$20,[1]Header_Data!$A3:$GZ32,174,FALSE)</f>
        <v>47.4. Dateiname der Arzneimittel-Fachinformation
(AF)</v>
      </c>
      <c r="FR2" s="188" t="str">
        <f>VLOOKUP([1]Start!$H$20,[1]Header_Data!$A3:$GZ32,175,FALSE)</f>
        <v>47.5. Dateiname der Konformitätserklärung für Medizinprodukte 
(KM)</v>
      </c>
      <c r="FS2" s="170" t="str">
        <f>VLOOKUP(Start!$H$20,Header_Data!$A3:$GZ32,176,FALSE)</f>
        <v>48. Exklusivartikel</v>
      </c>
      <c r="FT2" s="184" t="str">
        <f>VLOOKUP(Start!$H$20,Header_Data!$A3:$GZ32,177,FALSE)</f>
        <v>48.1. Exklusivartikel 
(berechtigte Händler)</v>
      </c>
      <c r="FU2" s="170" t="str">
        <f>VLOOKUP(Start!$H$20,Header_Data!$A3:$GZ32,178,FALSE)</f>
        <v>49. Artikel unterliegt der Verordnung (EU) 2016/425 über Persönliche Schutzausrüstung?</v>
      </c>
      <c r="FV2" s="184" t="str">
        <f>VLOOKUP(Start!$H$20,Header_Data!$A3:$GZ32,179,FALSE)</f>
        <v xml:space="preserve">49.1. Kategorie der Persönlichen Schutzausrüstung </v>
      </c>
      <c r="FW2" s="170" t="str">
        <f>VLOOKUP(Start!$H$20,Header_Data!$A3:$GZ32,180,FALSE)</f>
        <v>50. Ist Artikel ein Set?</v>
      </c>
      <c r="FX2" s="184" t="s">
        <v>691</v>
      </c>
      <c r="FY2" s="184" t="str">
        <f>VLOOKUP(Start!$H$20,Header_Data!$A3:$GZ32,181,FALSE)</f>
        <v>22.4. MDR oder MDD Zulassung?</v>
      </c>
      <c r="FZ2" s="184" t="str">
        <f>VLOOKUP(Start!$H$20,Header_Data!$A3:$GZ32,182,FALSE)</f>
        <v>22.5. Basis UDI-DI</v>
      </c>
      <c r="GA2" s="184" t="str">
        <f>VLOOKUP([1]Start!$H$20,[1]Header_Data!$A3:$GZ32,183,FALSE)</f>
        <v>22.6. benannte Stelle</v>
      </c>
      <c r="GB2" s="184" t="str">
        <f>VLOOKUP([1]Start!$H$20,[1]Header_Data!$A3:$GZ32,184,FALSE)</f>
        <v>22.7. Gültigkeit der Konformitätserklärung bis…</v>
      </c>
      <c r="GC2" s="184" t="s">
        <v>39</v>
      </c>
      <c r="GD2" s="170" t="str">
        <f>VLOOKUP(Start!$H$20,Header_Data!$A3:$GZ32,186,FALSE)</f>
        <v>12.1. UKCA (CE-Kennzeichen für Großbritannien)</v>
      </c>
    </row>
    <row r="3" spans="1:186" s="189" customFormat="1" ht="86.1" customHeight="1" x14ac:dyDescent="0.3">
      <c r="A3" s="190"/>
      <c r="B3" s="191" t="str">
        <f>VLOOKUP(Start!$H$21,Header_Data!$A3:$GZ32,3,FALSE)</f>
        <v>2.1. Name</v>
      </c>
      <c r="C3" s="191" t="str">
        <f>VLOOKUP(Start!$H$21,Header_Data!$A3:$GZ32,4,FALSE)</f>
        <v>2.2. Telefonnummer</v>
      </c>
      <c r="D3" s="191" t="str">
        <f>VLOOKUP(Start!$H$21,Header_Data!$A3:$GZ32,5,FALSE)</f>
        <v>2.3. Email-Adresse</v>
      </c>
      <c r="E3" s="192"/>
      <c r="F3" s="192"/>
      <c r="G3" s="193"/>
      <c r="H3" s="193"/>
      <c r="I3" s="193"/>
      <c r="J3" s="193"/>
      <c r="K3" s="192"/>
      <c r="L3" s="193"/>
      <c r="M3" s="193"/>
      <c r="N3" s="192"/>
      <c r="O3" s="192"/>
      <c r="P3" s="192"/>
      <c r="Q3" s="192"/>
      <c r="R3" s="192"/>
      <c r="S3" s="192"/>
      <c r="T3" s="192"/>
      <c r="U3" s="192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2"/>
      <c r="AG3" s="193"/>
      <c r="AH3" s="192"/>
      <c r="AI3" s="192"/>
      <c r="AJ3" s="192"/>
      <c r="AK3" s="192"/>
      <c r="AL3" s="193"/>
      <c r="AM3" s="192"/>
      <c r="AN3" s="193"/>
      <c r="AO3" s="192"/>
      <c r="AP3" s="194" t="str">
        <f>VLOOKUP(Start!$H$21,Header_Data!$A3:$GZ32,43,FALSE)</f>
        <v xml:space="preserve">20.1.1.
Min. </v>
      </c>
      <c r="AQ3" s="194" t="str">
        <f>VLOOKUP(Start!$H$21,Header_Data!$A3:$GZ32,44,FALSE)</f>
        <v xml:space="preserve">20.1.2.
Max. </v>
      </c>
      <c r="AR3" s="194" t="str">
        <f>VLOOKUP(Start!$H$21,Header_Data!$A3:$GZ32,45,FALSE)</f>
        <v xml:space="preserve">20.2.1.
Min. </v>
      </c>
      <c r="AS3" s="194" t="str">
        <f>VLOOKUP(Start!$H$21,Header_Data!$A3:$GZ32,46,FALSE)</f>
        <v xml:space="preserve">20.2.2.
Max. </v>
      </c>
      <c r="AT3" s="193"/>
      <c r="AU3" s="193"/>
      <c r="AV3" s="192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2"/>
      <c r="BI3" s="193"/>
      <c r="BJ3" s="193"/>
      <c r="BK3" s="193"/>
      <c r="BL3" s="192"/>
      <c r="BM3" s="193"/>
      <c r="BN3" s="192"/>
      <c r="BO3" s="193"/>
      <c r="BP3" s="192"/>
      <c r="BQ3" s="192"/>
      <c r="BR3" s="192"/>
      <c r="BS3" s="192"/>
      <c r="BT3" s="193"/>
      <c r="BU3" s="193"/>
      <c r="BV3" s="192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2"/>
      <c r="CO3" s="192"/>
      <c r="CP3" s="193"/>
      <c r="CQ3" s="193"/>
      <c r="CR3" s="193"/>
      <c r="CS3" s="192"/>
      <c r="CT3" s="195" t="str">
        <f>VLOOKUP(Start!$H$21,Header_Data!$A3:$GZ32,99,FALSE)</f>
        <v>32.1.1. Länge</v>
      </c>
      <c r="CU3" s="195" t="str">
        <f>VLOOKUP(Start!$H$21,Header_Data!$A3:$GZ32,100,FALSE)</f>
        <v>32.1.2. Breite</v>
      </c>
      <c r="CV3" s="195" t="str">
        <f>VLOOKUP(Start!$H$21,Header_Data!$A3:$GZ32,100,FALSE)</f>
        <v>32.1.2. Breite</v>
      </c>
      <c r="CW3" s="193"/>
      <c r="CX3" s="193"/>
      <c r="CY3" s="193"/>
      <c r="CZ3" s="193"/>
      <c r="DA3" s="191" t="str">
        <f>VLOOKUP(Start!$H$21,Header_Data!$A3:$GZ32,106,FALSE)</f>
        <v>32.6. Geräteserialnummer vorhanden?</v>
      </c>
      <c r="DB3" s="193"/>
      <c r="DC3" s="191" t="str">
        <f>VLOOKUP(Start!$H$21,Header_Data!$A3:$GZ32,108,FALSE)</f>
        <v xml:space="preserve">32.7. Ist der Artikel strombetrieben? </v>
      </c>
      <c r="DD3" s="193"/>
      <c r="DE3" s="193"/>
      <c r="DF3" s="191" t="str">
        <f>VLOOKUP(Start!$H$21,Header_Data!$A3:$GZ32,111,FALSE)</f>
        <v>32.8. Artikel enthält Batterien/Akkus?</v>
      </c>
      <c r="DG3" s="193"/>
      <c r="DH3" s="193"/>
      <c r="DI3" s="193"/>
      <c r="DJ3" s="193"/>
      <c r="DK3" s="192"/>
      <c r="DL3" s="193"/>
      <c r="DM3" s="193"/>
      <c r="DN3" s="193"/>
      <c r="DO3" s="193"/>
      <c r="DP3" s="192"/>
      <c r="DQ3" s="196" t="str">
        <f>VLOOKUP(Start!$H$21,Header_Data!$A3:$GZ32,122,FALSE)</f>
        <v>34.1.1. Kunststoff</v>
      </c>
      <c r="DR3" s="196" t="str">
        <f>VLOOKUP(Start!$H$21,Header_Data!$A3:$GZ32,123,FALSE)</f>
        <v>34.1.2. PPK</v>
      </c>
      <c r="DS3" s="196" t="str">
        <f>VLOOKUP(Start!$H$21,Header_Data!$A3:$GZ32,124,FALSE)</f>
        <v>34.1.3. Sonstige Verbunde</v>
      </c>
      <c r="DT3" s="196" t="str">
        <f>VLOOKUP(Start!$H$21,Header_Data!$A3:$GZ32,125,FALSE)</f>
        <v>34.1.4. Glas</v>
      </c>
      <c r="DU3" s="196" t="str">
        <f>VLOOKUP(Start!$H$21,Header_Data!$A3:$GZ32,126,FALSE)</f>
        <v>34.1.5. Aluminium</v>
      </c>
      <c r="DV3" s="196" t="str">
        <f>VLOOKUP(Start!$H$21,Header_Data!$A3:$GZ32,127,FALSE)</f>
        <v>34.1.6. Eisenmetalle</v>
      </c>
      <c r="DW3" s="193"/>
      <c r="DX3" s="196" t="str">
        <f>VLOOKUP(Start!$H$21,Header_Data!$A3:$GZ32,129,FALSE)</f>
        <v>34.3.1. Kunststoff</v>
      </c>
      <c r="DY3" s="196" t="str">
        <f>VLOOKUP(Start!$H$21,Header_Data!$A3:$GZ32,130,FALSE)</f>
        <v>34.3.2. PPK</v>
      </c>
      <c r="DZ3" s="196" t="str">
        <f>VLOOKUP(Start!$H$21,Header_Data!$A3:$GZ32,131,FALSE)</f>
        <v>34.3.3. Sonstige Verbunde</v>
      </c>
      <c r="EA3" s="196" t="str">
        <f>VLOOKUP(Start!$H$21,Header_Data!$A3:$GZ32,132,FALSE)</f>
        <v>34.3.4. Glas</v>
      </c>
      <c r="EB3" s="196" t="str">
        <f>VLOOKUP(Start!$H$21,Header_Data!$A3:$GZ32,133,FALSE)</f>
        <v>34.3.5. Aluminium</v>
      </c>
      <c r="EC3" s="196" t="str">
        <f>VLOOKUP(Start!$H$21,Header_Data!$A3:$GZ32,134,FALSE)</f>
        <v>34.3.6. Eisenmetalle</v>
      </c>
      <c r="ED3" s="193"/>
      <c r="EE3" s="196" t="str">
        <f>VLOOKUP(Start!$H$21,Header_Data!$A3:$GZ32,136,FALSE)</f>
        <v>34.5.1. Kunststoff</v>
      </c>
      <c r="EF3" s="196" t="str">
        <f>VLOOKUP(Start!$H$21,Header_Data!$A3:$GZ32,137,FALSE)</f>
        <v>34.5.2. PPK</v>
      </c>
      <c r="EG3" s="196" t="str">
        <f>VLOOKUP(Start!$H$21,Header_Data!$A3:$GZ32,138,FALSE)</f>
        <v>34.5.3. Sonstige Verbunde</v>
      </c>
      <c r="EH3" s="196" t="str">
        <f>VLOOKUP(Start!$H$21,Header_Data!$A3:$GZ32,139,FALSE)</f>
        <v>34.5.4. Glas</v>
      </c>
      <c r="EI3" s="196" t="str">
        <f>VLOOKUP(Start!$H$21,Header_Data!$A3:$GZ32,140,FALSE)</f>
        <v>34.5.5. Aluminium</v>
      </c>
      <c r="EJ3" s="196" t="str">
        <f>VLOOKUP(Start!$H$21,Header_Data!$A3:$GZ32,141,FALSE)</f>
        <v>34.5.6. Eisenmetalle</v>
      </c>
      <c r="EK3" s="193"/>
      <c r="EL3" s="192"/>
      <c r="EM3" s="192"/>
      <c r="EN3" s="191" t="str">
        <f>VLOOKUP(Start!$H$21,Header_Data!$A3:$GZ32,145,FALSE)</f>
        <v xml:space="preserve">37.1. Länge </v>
      </c>
      <c r="EO3" s="191" t="str">
        <f>VLOOKUP(Start!$H$21,Header_Data!$A3:$GZ32,146,FALSE)</f>
        <v xml:space="preserve">37.2. Breite </v>
      </c>
      <c r="EP3" s="191" t="str">
        <f>VLOOKUP(Start!$H$21,Header_Data!$A3:$GZ32,147,FALSE)</f>
        <v>37.3. Höhe</v>
      </c>
      <c r="EQ3" s="191" t="str">
        <f>VLOOKUP(Start!$H$21,Header_Data!$A3:$GZ32,148,FALSE)</f>
        <v xml:space="preserve">37.4. Bruttogewicht </v>
      </c>
      <c r="ER3" s="191" t="str">
        <f>VLOOKUP(Start!$H$21,Header_Data!$A3:$GZ32,149,FALSE)</f>
        <v xml:space="preserve">37.5. Nettogewicht </v>
      </c>
      <c r="ES3" s="192"/>
      <c r="ET3" s="193"/>
      <c r="EU3" s="197"/>
      <c r="EV3" s="198" t="str">
        <f>VLOOKUP(Start!$H$21,Header_Data!$A3:$GZ32,153,FALSE)</f>
        <v>38.3.1. Länge</v>
      </c>
      <c r="EW3" s="198" t="str">
        <f>VLOOKUP(Start!$H$21,Header_Data!$A3:$GZ32,154,FALSE)</f>
        <v>38.3.2. Breite</v>
      </c>
      <c r="EX3" s="198" t="str">
        <f>VLOOKUP(Start!$H$21,Header_Data!$A3:$GZ32,155,FALSE)</f>
        <v>38.3.3. Höhe</v>
      </c>
      <c r="EY3" s="198" t="str">
        <f>VLOOKUP(Start!$H$21,Header_Data!$A3:$GZ32,156,FALSE)</f>
        <v xml:space="preserve">38.3.4. Bruttogewicht </v>
      </c>
      <c r="EZ3" s="198" t="str">
        <f>VLOOKUP(Start!$H$21,Header_Data!$A3:$GZ32,157,FALSE)</f>
        <v xml:space="preserve">38.3.5. Nettogewicht </v>
      </c>
      <c r="FA3" s="192"/>
      <c r="FB3" s="197"/>
      <c r="FC3" s="197"/>
      <c r="FD3" s="197"/>
      <c r="FE3" s="192"/>
      <c r="FF3" s="192"/>
      <c r="FG3" s="192"/>
      <c r="FH3" s="192"/>
      <c r="FI3" s="192"/>
      <c r="FJ3" s="197"/>
      <c r="FK3" s="197"/>
      <c r="FL3" s="192"/>
      <c r="FM3" s="192"/>
      <c r="FN3" s="199"/>
      <c r="FO3" s="199"/>
      <c r="FP3" s="199"/>
      <c r="FQ3" s="199"/>
      <c r="FR3" s="199"/>
      <c r="FS3" s="192"/>
      <c r="FT3" s="197"/>
      <c r="FU3" s="192"/>
      <c r="FV3" s="197"/>
      <c r="FW3" s="192"/>
      <c r="FX3" s="197"/>
      <c r="FY3" s="197"/>
      <c r="FZ3" s="197"/>
      <c r="GA3" s="197"/>
      <c r="GB3" s="197"/>
      <c r="GC3" s="197"/>
      <c r="GD3" s="192"/>
    </row>
    <row r="4" spans="1:186" s="205" customFormat="1" ht="58.5" customHeight="1" outlineLevel="1" x14ac:dyDescent="0.3">
      <c r="A4" s="200" t="str">
        <f>VLOOKUP(Start!$H$22,Header_Data!$A3:$GZ32,2,FALSE)</f>
        <v>!Y</v>
      </c>
      <c r="B4" s="201" t="str">
        <f>VLOOKUP(Start!$H$22,Header_Data!$A3:$GZ32,3,FALSE)</f>
        <v>Textfeld</v>
      </c>
      <c r="C4" s="201" t="str">
        <f>VLOOKUP(Start!$H$22,Header_Data!$A3:$GZ32,4,FALSE)</f>
        <v>Textfeld</v>
      </c>
      <c r="D4" s="201" t="str">
        <f>VLOOKUP(Start!$H$22,Header_Data!$A3:$GZ32,5,FALSE)</f>
        <v>Textfeld</v>
      </c>
      <c r="E4" s="201" t="str">
        <f>VLOOKUP(Start!$H$22,Header_Data!$A3:$GZ32,6,FALSE)</f>
        <v>Datum (tt.mm.jjjj)</v>
      </c>
      <c r="F4" s="201" t="str">
        <f>VLOOKUP(Start!$H$22,Header_Data!$A3:$GZ32,7,FALSE)</f>
        <v xml:space="preserve">N=Neuanlage 
A=Änderung 
Z=nicht mehr lieferbar </v>
      </c>
      <c r="G4" s="201" t="str">
        <f>VLOOKUP(Start!$H$22,Header_Data!$A3:$GZ32,8,FALSE)</f>
        <v>alphanumerisch</v>
      </c>
      <c r="H4" s="201" t="str">
        <f>VLOOKUP(Start!$H$22,Header_Data!$A3:$GZ32,9,FALSE)</f>
        <v>Datum (tt.mm.jjjj)</v>
      </c>
      <c r="I4" s="201" t="str">
        <f>VLOOKUP(Start!$H$22,Header_Data!$A3:$GZ32,10,FALSE)</f>
        <v>Datum (tt.mm.jjjj)</v>
      </c>
      <c r="J4" s="201" t="str">
        <f>VLOOKUP(Start!$H$22,Header_Data!$A3:$GZ32,11,FALSE)</f>
        <v>Beutel, Dose, Eimer, Flasche, Kanister, Karton, Muster, Packung, Rolle, Set, Spender, Spritze, Stück, Tube, Nachfüllpackung, Großpackung …</v>
      </c>
      <c r="K4" s="201" t="str">
        <f>VLOOKUP(Start!$H$22,Header_Data!$A3:$GZ32,12,FALSE)</f>
        <v>(J/N)</v>
      </c>
      <c r="L4" s="201" t="str">
        <f>VLOOKUP(Start!$H$22,Header_Data!$A3:$GZ32,13,FALSE)</f>
        <v>Datum (tt.mm.jjjj)</v>
      </c>
      <c r="M4" s="201" t="str">
        <f>VLOOKUP(Start!$H$22,Header_Data!$A3:$GZ32,14,FALSE)</f>
        <v>alphanumerisch</v>
      </c>
      <c r="N4" s="201" t="str">
        <f>VLOOKUP(Start!$H$22,Header_Data!$A3:$GZ32,15,FALSE)</f>
        <v>Textfeld</v>
      </c>
      <c r="O4" s="201" t="str">
        <f>VLOOKUP(Start!$H$22,Header_Data!$A3:$GZ32,16,FALSE)</f>
        <v>alphanumerisch
Wenn Hersteller = Lieferant, dann exakte Hersteller-Artikelnummer angeben.</v>
      </c>
      <c r="P4" s="201" t="str">
        <f>VLOOKUP(Start!$H$22,Header_Data!$A3:$GZ32,17,FALSE)</f>
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</c>
      <c r="Q4" s="201" t="str">
        <f>VLOOKUP(Start!$H$22,Header_Data!$A3:$GZ32,18,FALSE)</f>
        <v>Textfeld
Bitte ausfüllen, wenn Lieferant und Hersteller nicht identisch sind.</v>
      </c>
      <c r="R4" s="201" t="str">
        <f>VLOOKUP(Start!$H$22,Header_Data!$A3:$GZ32,19,FALSE)</f>
        <v>Textfeld
Bitte ausfüllen, wenn Lieferant und Hersteller nicht identisch sind.</v>
      </c>
      <c r="S4" s="201" t="str">
        <f>VLOOKUP(Start!$H$22,Header_Data!$A3:$GZ32,20,FALSE)</f>
        <v>Länder bitte durch Ländercodes nach ISO 3166 angeben und durch / voneinander trennen.</v>
      </c>
      <c r="T4" s="201" t="str">
        <f>VLOOKUP(Start!$H$22,Header_Data!$A3:$GZ32,21,FALSE)</f>
        <v>(N/i/o</v>
      </c>
      <c r="U4" s="201" t="str">
        <f>VLOOKUP(Start!$H$22,Header_Data!$A3:$GZ32,22,FALSE)</f>
        <v>(J/N)</v>
      </c>
      <c r="V4" s="201" t="str">
        <f>VLOOKUP(Start!$H$22,Header_Data!$A3:$GZ32,23,FALSE)</f>
        <v>numerisch</v>
      </c>
      <c r="W4" s="201" t="str">
        <f>VLOOKUP(Start!$H$22,Header_Data!$A3:$GZ32,24,FALSE)</f>
        <v>numerisch</v>
      </c>
      <c r="X4" s="201" t="str">
        <f>VLOOKUP(Start!$H$22,Header_Data!$A3:$GZ32,25,FALSE)</f>
        <v>numerisch</v>
      </c>
      <c r="Y4" s="201" t="str">
        <f>VLOOKUP(Start!$H$22,Header_Data!$A3:$GZ32,26,FALSE)</f>
        <v>numerisch</v>
      </c>
      <c r="Z4" s="201" t="str">
        <f>VLOOKUP(Start!$H$22,Header_Data!$A3:$GZ32,27,FALSE)</f>
        <v>alphanumerisch</v>
      </c>
      <c r="AA4" s="201" t="str">
        <f>VLOOKUP(Start!$H$22,Header_Data!$A3:$GZ32,28,FALSE)</f>
        <v>alphanumerisch</v>
      </c>
      <c r="AB4" s="201" t="str">
        <f>VLOOKUP(Start!$H$22,Header_Data!$A3:$GZ32,29,FALSE)</f>
        <v>alphanumerisch</v>
      </c>
      <c r="AC4" s="201" t="str">
        <f>VLOOKUP(Start!$H$22,Header_Data!$A3:$GZ32,30,FALSE)</f>
        <v>alphanumerisch</v>
      </c>
      <c r="AD4" s="201" t="str">
        <f>VLOOKUP(Start!$H$22,Header_Data!$A3:$GZ32,31,FALSE)</f>
        <v>numerisch</v>
      </c>
      <c r="AE4" s="201" t="str">
        <f>VLOOKUP(Start!$H$22,Header_Data!$A3:$GZ32,32,FALSE)</f>
        <v>numerisch</v>
      </c>
      <c r="AF4" s="201" t="str">
        <f>VLOOKUP(Start!$H$22,Header_Data!$A3:$GZ32,33,FALSE)</f>
        <v>(numerisch / N)</v>
      </c>
      <c r="AG4" s="201" t="str">
        <f>VLOOKUP(Start!$H$22,Header_Data!$A3:$GZ32,34,FALSE)</f>
        <v>alphanumerisch</v>
      </c>
      <c r="AH4" s="201" t="str">
        <f>VLOOKUP(Start!$H$22,Header_Data!$A3:$GZ32,35,FALSE)</f>
        <v>Dental = DENT
Humanmedizin = MED
Veterinär = VET
durch / voneinander trennen</v>
      </c>
      <c r="AI4" s="201" t="str">
        <f>VLOOKUP(Start!$H$22,Header_Data!$A3:$GZ32,36,FALSE)</f>
        <v>P = Praxis
L = Labor 
B = beides</v>
      </c>
      <c r="AJ4" s="201" t="str">
        <f>VLOOKUP(Start!$H$22,Header_Data!$A3:$GZ32,37,FALSE)</f>
        <v>(J/N)</v>
      </c>
      <c r="AK4" s="201" t="str">
        <f>VLOOKUP([1]Start!$H$22,[1]Header_Data!$A3:$GZ32,38,FALSE)</f>
        <v>(J/N)</v>
      </c>
      <c r="AL4" s="201" t="str">
        <f>VLOOKUP([1]Start!$H$22,[1]Header_Data!$A3:$GZ32,39,FALSE)</f>
        <v>Sprachen bitte durch Ländercode nach ISO 3166 angeben und durch / voneinander trennen.</v>
      </c>
      <c r="AM4" s="201" t="str">
        <f>VLOOKUP([1]Start!$H$22,[1]Header_Data!$A3:$GZ32,40,FALSE)</f>
        <v>(J/N)</v>
      </c>
      <c r="AN4" s="201" t="str">
        <f>VLOOKUP([1]Start!$H$22,[1]Header_Data!$A3:$GZ32,41,FALSE)</f>
        <v>Sprachen bitte durch Ländercode nach ISO 3166 angeben und durch / voneinander trennen.</v>
      </c>
      <c r="AO4" s="201" t="str">
        <f>VLOOKUP(Start!$H$22,Header_Data!$A3:$GZ32,42,FALSE)</f>
        <v>(J/N)</v>
      </c>
      <c r="AP4" s="202" t="str">
        <f>VLOOKUP(Start!$H$22,Header_Data!$A3:$GZ32,43,FALSE)</f>
        <v>in °C</v>
      </c>
      <c r="AQ4" s="203"/>
      <c r="AR4" s="203"/>
      <c r="AS4" s="204"/>
      <c r="AT4" s="201" t="str">
        <f>VLOOKUP(Start!$H$22,Header_Data!$A3:$GZ32,47,FALSE)</f>
        <v>in Stunden (h)</v>
      </c>
      <c r="AU4" s="201" t="str">
        <f>VLOOKUP(Start!$H$22,Header_Data!$A3:$GZ32,48,FALSE)</f>
        <v>(J/N)</v>
      </c>
      <c r="AV4" s="201" t="str">
        <f>VLOOKUP([1]Start!$H$22,[1]Header_Data!$A3:$GZ32,49,FALSE)</f>
        <v>(J/N)</v>
      </c>
      <c r="AW4" s="201" t="str">
        <f>VLOOKUP([1]Start!$H$22,[1]Header_Data!$A3:$GZ32,50,FALSE)</f>
        <v>(J/N)</v>
      </c>
      <c r="AX4" s="201" t="str">
        <f>VLOOKUP([1]Start!$H$22,[1]Header_Data!$A3:$GZ32,51,FALSE)</f>
        <v>(J/N)</v>
      </c>
      <c r="AY4" s="201" t="str">
        <f>VLOOKUP([1]Start!$H$22,[1]Header_Data!$A3:$GZ32,52,FALSE)</f>
        <v>(J/N)</v>
      </c>
      <c r="AZ4" s="201" t="str">
        <f>VLOOKUP([1]Start!$H$22,[1]Header_Data!$A3:$GZ32,53,FALSE)</f>
        <v>(J/N)</v>
      </c>
      <c r="BA4" s="201" t="str">
        <f>VLOOKUP([1]Start!$H$22,[1]Header_Data!$A3:$GZ32,54,FALSE)</f>
        <v>(J/N)</v>
      </c>
      <c r="BB4" s="201" t="str">
        <f>VLOOKUP([1]Start!$H$22,[1]Header_Data!$A3:$GZ32,55,FALSE)</f>
        <v>(J/N)</v>
      </c>
      <c r="BC4" s="201" t="str">
        <f>VLOOKUP([1]Start!$H$22,[1]Header_Data!$A3:$GZ32,56,FALSE)</f>
        <v>(J/N)</v>
      </c>
      <c r="BD4" s="201" t="str">
        <f>VLOOKUP([1]Start!$H$22,[1]Header_Data!$A3:$GZ32,57,FALSE)</f>
        <v>(J/N)</v>
      </c>
      <c r="BE4" s="201" t="str">
        <f>VLOOKUP([1]Start!$H$22,[1]Header_Data!$A3:$GZ32,58,FALSE)</f>
        <v>(J/N)</v>
      </c>
      <c r="BF4" s="201" t="str">
        <f>VLOOKUP([1]Start!$H$22,[1]Header_Data!$A3:$GZ32,59,FALSE)</f>
        <v>Länder bitte durch Ländercodes nach ISO 3166 angeben und durch / voneinander trennen.</v>
      </c>
      <c r="BG4" s="201" t="str">
        <f>VLOOKUP([1]Start!$H$22,[1]Header_Data!$A3:$GZ32,60,FALSE)</f>
        <v>alphanumerisch</v>
      </c>
      <c r="BH4" s="201" t="str">
        <f>VLOOKUP([1]Start!$H$22,[1]Header_Data!$A3:$GZ32,61,FALSE)</f>
        <v>(J/N)</v>
      </c>
      <c r="BI4" s="201" t="str">
        <f>VLOOKUP([1]Start!$H$22,[1]Header_Data!$A3:$GZ32,62,FALSE)</f>
        <v>(I, Is, Im, IIa, IIb, III, IVD)</v>
      </c>
      <c r="BJ4" s="201" t="str">
        <f>VLOOKUP([1]Start!$H$22,[1]Header_Data!$A3:$GZ32,63,FALSE)</f>
        <v>(J/N)</v>
      </c>
      <c r="BK4" s="201" t="str">
        <f>VLOOKUP([1]Start!$H$22,[1]Header_Data!$A3:$GZ32,64,FALSE)</f>
        <v>(J/N)</v>
      </c>
      <c r="BL4" s="201" t="str">
        <f>VLOOKUP([1]Start!$H$22,[1]Header_Data!$A3:$GZ32,65,FALSE)</f>
        <v>(J/N)</v>
      </c>
      <c r="BM4" s="201" t="str">
        <f>VLOOKUP([1]Start!$H$22,[1]Header_Data!$A3:$GZ32,66,FALSE)</f>
        <v>(J/N)</v>
      </c>
      <c r="BN4" s="201" t="str">
        <f>VLOOKUP(Start!$H$22,Header_Data!$A3:$GZ32,67,FALSE)</f>
        <v>(J/N)</v>
      </c>
      <c r="BO4" s="201" t="str">
        <f>VLOOKUP(Start!$H$22,Header_Data!$A3:$GZ32,68,FALSE)</f>
        <v>numerisch</v>
      </c>
      <c r="BP4" s="201" t="str">
        <f>VLOOKUP(Start!$H$22,Header_Data!$A3:$GZ32,69,FALSE)</f>
        <v>(J/N)</v>
      </c>
      <c r="BQ4" s="201" t="str">
        <f>VLOOKUP(Start!$H$22,Header_Data!$A3:$GZ32,70,FALSE)</f>
        <v>(J/N)</v>
      </c>
      <c r="BR4" s="201" t="str">
        <f>VLOOKUP(Start!$H$22,Header_Data!$A3:$GZ32,71,FALSE)</f>
        <v>in Gramm (g) oder Prozent (%) Wenn vorhanden, bitte beides angeben (Bsp. 3g / 15%)</v>
      </c>
      <c r="BS4" s="201" t="str">
        <f>VLOOKUP(Start!$H$22,Header_Data!$A3:$GZ32,72,FALSE)</f>
        <v>(J/N)
Wenn ein SDB vorhanden ist, dann muss dieses zwingend als Anhang mitgeschickt werden!</v>
      </c>
      <c r="BT4" s="201" t="str">
        <f>VLOOKUP(Start!$H$22,Header_Data!$A3:$GZ32,73,FALSE)</f>
        <v>Datum (tt.mm.jjjj)</v>
      </c>
      <c r="BU4" s="201" t="str">
        <f>VLOOKUP(Start!$H$22,Header_Data!$A3:$GZ32,74,FALSE)</f>
        <v>(J/N)</v>
      </c>
      <c r="BV4" s="201" t="str">
        <f>VLOOKUP(Start!$H$22,Header_Data!$A3:$GZ32,75,FALSE)</f>
        <v>(J/N)</v>
      </c>
      <c r="BW4" s="201" t="str">
        <f>VLOOKUP(Start!$H$22,Header_Data!$A3:$GZ32,76,FALSE)</f>
        <v>(J/N)</v>
      </c>
      <c r="BX4" s="201" t="str">
        <f>VLOOKUP(Start!$H$22,Header_Data!$A3:$GZ32,77,FALSE)</f>
        <v>numerisch</v>
      </c>
      <c r="BY4" s="201" t="str">
        <f>VLOOKUP(Start!$H$22,Header_Data!$A3:$GZ32,78,FALSE)</f>
        <v>Textfeld</v>
      </c>
      <c r="BZ4" s="201" t="str">
        <f>VLOOKUP(Start!$H$22,Header_Data!$A3:$GZ32,79,FALSE)</f>
        <v>numerisch</v>
      </c>
      <c r="CA4" s="201" t="str">
        <f>VLOOKUP(Start!$H$22,Header_Data!$A3:$GZ32,80,FALSE)</f>
        <v>numerisch</v>
      </c>
      <c r="CB4" s="201" t="str">
        <f>VLOOKUP(Start!$H$22,Header_Data!$A3:$GZ32,81,FALSE)</f>
        <v>numerisch</v>
      </c>
      <c r="CC4" s="201" t="str">
        <f>VLOOKUP(Start!$H$22,Header_Data!$A3:$GZ32,82,FALSE)</f>
        <v>numerisch</v>
      </c>
      <c r="CD4" s="201" t="str">
        <f>VLOOKUP(Start!$H$22,Header_Data!$A3:$GZ32,83,FALSE)</f>
        <v>numerisch</v>
      </c>
      <c r="CE4" s="201" t="str">
        <f>VLOOKUP(Start!$H$22,Header_Data!$A3:$GZ32,84,FALSE)</f>
        <v>numerisch</v>
      </c>
      <c r="CF4" s="201" t="str">
        <f>VLOOKUP(Start!$H$22,Header_Data!$A3:$GZ32,85,FALSE)</f>
        <v>numerisch</v>
      </c>
      <c r="CG4" s="201" t="str">
        <f>VLOOKUP(Start!$H$22,Header_Data!$A3:$GZ32,86,FALSE)</f>
        <v>Bitte vollständigen Code inkl. Klammern angeben.</v>
      </c>
      <c r="CH4" s="201" t="str">
        <f>VLOOKUP(Start!$H$22,Header_Data!$A3:$GZ32,87,FALSE)</f>
        <v>numerisch</v>
      </c>
      <c r="CI4" s="201" t="str">
        <f>VLOOKUP(Start!$H$22,Header_Data!$A3:$GZ32,88,FALSE)</f>
        <v>numerisch
in Milliliter (ml) oder Gramm (g)</v>
      </c>
      <c r="CJ4" s="201" t="str">
        <f>VLOOKUP(Start!$H$22,Header_Data!$A3:$GZ32,89,FALSE)</f>
        <v xml:space="preserve">Fass, Kanister, Kiste, Sack, 
Kombinationsverpackung, 
Feinstblechverpackung
</v>
      </c>
      <c r="CK4" s="201" t="str">
        <f>VLOOKUP(Start!$H$22,Header_Data!$A3:$GZ32,90,FALSE)</f>
        <v>(J/N)</v>
      </c>
      <c r="CL4" s="201" t="str">
        <f>VLOOKUP(Start!$H$22,Header_Data!$A3:$GZ32,91,FALSE)</f>
        <v>numerisch</v>
      </c>
      <c r="CM4" s="201" t="str">
        <f>VLOOKUP(Start!$H$22,Header_Data!$A3:$GZ32,92,FALSE)</f>
        <v>(J/N)</v>
      </c>
      <c r="CN4" s="201" t="str">
        <f>VLOOKUP(Start!$H$22,Header_Data!$A3:$GZ32,93,FALSE)</f>
        <v>(J/N)</v>
      </c>
      <c r="CO4" s="201" t="str">
        <f>VLOOKUP(Start!$H$22,Header_Data!$A3:$GZ32,94,FALSE)</f>
        <v>(J/N)</v>
      </c>
      <c r="CP4" s="201" t="str">
        <f>VLOOKUP(Start!$H$22,Header_Data!$A3:$GZ32,95,FALSE)</f>
        <v>(J/N)</v>
      </c>
      <c r="CQ4" s="201" t="str">
        <f>VLOOKUP(Start!$H$22,Header_Data!$A3:$GZ32,96,FALSE)</f>
        <v>(J/N)</v>
      </c>
      <c r="CR4" s="201" t="str">
        <f>VLOOKUP(Start!$H$22,Header_Data!$A3:$GZ32,97,FALSE)</f>
        <v>(J/N)</v>
      </c>
      <c r="CS4" s="201" t="str">
        <f>VLOOKUP(Start!$H$22,Header_Data!$A3:$GZ32,98,FALSE)</f>
        <v>(J/N)</v>
      </c>
      <c r="CT4" s="202" t="str">
        <f>VLOOKUP(Start!$H$22,Header_Data!$A3:$GZ32,99,FALSE)</f>
        <v>in Millimeter (mm)</v>
      </c>
      <c r="CU4" s="203"/>
      <c r="CV4" s="204"/>
      <c r="CW4" s="201" t="str">
        <f>VLOOKUP(Start!$H$22,Header_Data!$A3:$GZ32,102,FALSE)</f>
        <v>in Liter (L)</v>
      </c>
      <c r="CX4" s="201" t="str">
        <f>VLOOKUP(Start!$H$22,Header_Data!$A3:$GZ32,103,FALSE)</f>
        <v>in °C</v>
      </c>
      <c r="CY4" s="201" t="str">
        <f>VLOOKUP(Start!$H$22,Header_Data!$A3:$GZ32,104,FALSE)</f>
        <v>in Watt (W)</v>
      </c>
      <c r="CZ4" s="201" t="str">
        <f>VLOOKUP(Start!$H$22,Header_Data!$A3:$GZ32,105,FALSE)</f>
        <v>(J/N)</v>
      </c>
      <c r="DA4" s="201" t="str">
        <f>VLOOKUP(Start!$H$22,Header_Data!$A3:$GZ32,106,FALSE)</f>
        <v>(J/N)</v>
      </c>
      <c r="DB4" s="201" t="str">
        <f>VLOOKUP(Start!$H$22,Header_Data!$A3:$GZ32,107,FALSE)</f>
        <v>numerisch</v>
      </c>
      <c r="DC4" s="201" t="str">
        <f>VLOOKUP(Start!$H$22,Header_Data!$A3:$GZ32,108,FALSE)</f>
        <v>(J/N)</v>
      </c>
      <c r="DD4" s="201" t="str">
        <f>VLOOKUP(Start!$H$22,Header_Data!$A3:$GZ32,109,FALSE)</f>
        <v>(J/N)</v>
      </c>
      <c r="DE4" s="201" t="str">
        <f>VLOOKUP(Start!$H$22,Header_Data!$A3:$GZ32,110,FALSE)</f>
        <v>(J/N)</v>
      </c>
      <c r="DF4" s="201" t="str">
        <f>VLOOKUP(Start!$H$22,Header_Data!$A3:$GZ32,111,FALSE)</f>
        <v>(J/N)</v>
      </c>
      <c r="DG4" s="201" t="str">
        <f>VLOOKUP(Start!$H$22,Header_Data!$A3:$GZ32,112,FALSE)</f>
        <v>(J/N)</v>
      </c>
      <c r="DH4" s="201" t="str">
        <f>VLOOKUP(Start!$H$22,Header_Data!$A3:$GZ32,113,FALSE)</f>
        <v>Textfeld
(LiIon, LiMetall, Blei, NiCa, etc.)</v>
      </c>
      <c r="DI4" s="201" t="str">
        <f>VLOOKUP(Start!$H$22,Header_Data!$A3:$GZ32,114,FALSE)</f>
        <v>numerisch</v>
      </c>
      <c r="DJ4" s="201" t="str">
        <f>VLOOKUP(Start!$H$22,Header_Data!$A3:$GZ32,115,FALSE)</f>
        <v>numerisch</v>
      </c>
      <c r="DK4" s="201" t="str">
        <f>VLOOKUP(Start!$H$22,Header_Data!$A3:$GZ32,116,FALSE)</f>
        <v>(J/N)</v>
      </c>
      <c r="DL4" s="201" t="str">
        <f>VLOOKUP(Start!$H$22,Header_Data!$A3:$GZ32,117,FALSE)</f>
        <v>in Monaten</v>
      </c>
      <c r="DM4" s="201" t="str">
        <f>VLOOKUP(Start!$H$22,Header_Data!$A3:$GZ32,118,FALSE)</f>
        <v>in Monaten</v>
      </c>
      <c r="DN4" s="201" t="str">
        <f>VLOOKUP(Start!$H$22,Header_Data!$A3:$GZ32,119,FALSE)</f>
        <v>in Monaten</v>
      </c>
      <c r="DO4" s="201" t="str">
        <f>VLOOKUP(Start!$H$22,Header_Data!$A3:$GZ32,120,FALSE)</f>
        <v>in Monaten</v>
      </c>
      <c r="DP4" s="201" t="str">
        <f>VLOOKUP(Start!$H$22,Header_Data!$A3:$GZ32,121,FALSE)</f>
        <v>(J/N)</v>
      </c>
      <c r="DQ4" s="202" t="str">
        <f>VLOOKUP(Start!$H$22,Header_Data!$A3:$GZ32,122,FALSE)</f>
        <v>in Gramm (g)</v>
      </c>
      <c r="DR4" s="203"/>
      <c r="DS4" s="203"/>
      <c r="DT4" s="203"/>
      <c r="DU4" s="203"/>
      <c r="DV4" s="204"/>
      <c r="DW4" s="201" t="str">
        <f>VLOOKUP(Start!$H$22,Header_Data!$A3:$GZ32,128,FALSE)</f>
        <v>(J/N)</v>
      </c>
      <c r="DX4" s="202" t="str">
        <f>VLOOKUP(Start!$H$22,Header_Data!$A3:$GZ32,129,FALSE)</f>
        <v>in Gramm (g)</v>
      </c>
      <c r="DY4" s="203"/>
      <c r="DZ4" s="203"/>
      <c r="EA4" s="203"/>
      <c r="EB4" s="203"/>
      <c r="EC4" s="204"/>
      <c r="ED4" s="201" t="str">
        <f>VLOOKUP(Start!$H$22,Header_Data!$A3:$GZ32,135,FALSE)</f>
        <v>(J/N)</v>
      </c>
      <c r="EE4" s="202" t="str">
        <f>VLOOKUP(Start!$H$22,Header_Data!$A3:$GZ32,136,FALSE)</f>
        <v>in Gramm (g)</v>
      </c>
      <c r="EF4" s="203"/>
      <c r="EG4" s="203"/>
      <c r="EH4" s="203"/>
      <c r="EI4" s="203"/>
      <c r="EJ4" s="204"/>
      <c r="EK4" s="201" t="str">
        <f>VLOOKUP(Start!$H$22,Header_Data!$A3:$GZ32,142,FALSE)</f>
        <v>(J/N)</v>
      </c>
      <c r="EL4" s="201" t="str">
        <f>VLOOKUP(Start!$H$22,Header_Data!$A3:$GZ32,143,FALSE)</f>
        <v>in Stück</v>
      </c>
      <c r="EM4" s="201" t="str">
        <f>VLOOKUP(Start!$H$22,Header_Data!$A3:$GZ32,144,FALSE)</f>
        <v>numerisch</v>
      </c>
      <c r="EN4" s="202" t="str">
        <f>VLOOKUP(Start!$H$22,Header_Data!$A3:$GZ32,145,FALSE)</f>
        <v>numerisch in Millimeter (mm)</v>
      </c>
      <c r="EO4" s="203"/>
      <c r="EP4" s="204"/>
      <c r="EQ4" s="202" t="str">
        <f>VLOOKUP(Start!$H$22,Header_Data!$A3:$GZ32,148,FALSE)</f>
        <v>numerisch in Gramm (g)</v>
      </c>
      <c r="ER4" s="204"/>
      <c r="ES4" s="201" t="str">
        <f>VLOOKUP(Start!$H$22,Header_Data!$A3:$GZ32,150,FALSE)</f>
        <v>(J/N)</v>
      </c>
      <c r="ET4" s="201" t="str">
        <f>VLOOKUP(Start!$H$22,Header_Data!$A3:$GZ32,151,FALSE)</f>
        <v>(J/N)</v>
      </c>
      <c r="EU4" s="201" t="str">
        <f>VLOOKUP(Start!$H$22,Header_Data!$A3:$GZ32,152,FALSE)</f>
        <v>numerisch</v>
      </c>
      <c r="EV4" s="202" t="str">
        <f>VLOOKUP(Start!$H$22,Header_Data!$A3:$GZ32,153,FALSE)</f>
        <v>in Millimeter (mm)</v>
      </c>
      <c r="EW4" s="203"/>
      <c r="EX4" s="204"/>
      <c r="EY4" s="202" t="str">
        <f>VLOOKUP(Start!$H$22,Header_Data!$A3:$GZ32,156,FALSE)</f>
        <v>in Gramm (g)</v>
      </c>
      <c r="EZ4" s="204"/>
      <c r="FA4" s="201" t="str">
        <f>VLOOKUP(Start!$H$22,Header_Data!$A3:$GZ32,158,FALSE)</f>
        <v>(J/N)</v>
      </c>
      <c r="FB4" s="201" t="str">
        <f>VLOOKUP(Start!$H$22,Header_Data!$A3:$GZ32,159,FALSE)</f>
        <v>Textfeld</v>
      </c>
      <c r="FC4" s="201" t="str">
        <f>VLOOKUP(Start!$H$22,Header_Data!$A3:$GZ32,160,FALSE)</f>
        <v>numerisch</v>
      </c>
      <c r="FD4" s="201" t="str">
        <f>VLOOKUP(Start!$H$22,Header_Data!$A3:$GZ32,161,FALSE)</f>
        <v>in Millimeter (mm)</v>
      </c>
      <c r="FE4" s="201" t="str">
        <f>VLOOKUP(Start!$H$22,Header_Data!$A3:$GZ32,162,FALSE)</f>
        <v>numerisch, 8-11-stellig</v>
      </c>
      <c r="FF4" s="201" t="str">
        <f>VLOOKUP(Start!$H$22,Header_Data!$A3:$GZ32,163,FALSE)</f>
        <v>(J/N)</v>
      </c>
      <c r="FG4" s="201" t="str">
        <f>VLOOKUP(Start!$H$22,Header_Data!$A3:$GZ32,164,FALSE)</f>
        <v>zweistellig, gemäß ISO 3166, Alpha 2</v>
      </c>
      <c r="FH4" s="201" t="str">
        <f>VLOOKUP(Start!$H$22,Header_Data!$A3:$GZ32,165,FALSE)</f>
        <v>Textfeld</v>
      </c>
      <c r="FI4" s="201" t="str">
        <f>VLOOKUP(Start!$H$22,Header_Data!$A3:$GZ32,166,FALSE)</f>
        <v>(J/N)</v>
      </c>
      <c r="FJ4" s="201" t="str">
        <f>VLOOKUP(Start!$H$22,Header_Data!$A3:$GZ32,167,FALSE)</f>
        <v>in EUR</v>
      </c>
      <c r="FK4" s="201" t="str">
        <f>VLOOKUP(Start!$H$22,Header_Data!$A3:$GZ32,168,FALSE)</f>
        <v>Textfeld</v>
      </c>
      <c r="FL4" s="201" t="str">
        <f>VLOOKUP(Start!$H$22,Header_Data!$A3:$GZ32,169,FALSE)</f>
        <v>in Prozent (%)</v>
      </c>
      <c r="FM4" s="201" t="str">
        <f>VLOOKUP(Start!$H$22,Header_Data!$A3:$GZ32,170,FALSE)</f>
        <v>Text und/oder Anhang / N
(z.B. latexhaltig)</v>
      </c>
      <c r="FN4" s="202" t="str">
        <f>VLOOKUP(Start!$H$22,Header_Data!$A3:$GZ32,171,FALSE)</f>
        <v>Originalname der SD Datei des Herstellers</v>
      </c>
      <c r="FO4" s="203"/>
      <c r="FP4" s="203"/>
      <c r="FQ4" s="203"/>
      <c r="FR4" s="204"/>
      <c r="FS4" s="201" t="str">
        <f>VLOOKUP(Start!$H$22,Header_Data!$A3:$GZ32,176,FALSE)</f>
        <v>(J/N)</v>
      </c>
      <c r="FT4" s="201" t="str">
        <f>VLOOKUP(Start!$H$22,Header_Data!$A3:$GZ32,177,FALSE)</f>
        <v>Händler bitte durch / voneinander trennen. (Bsp. DU/HSC/PD/NWD/M&amp;W)</v>
      </c>
      <c r="FU4" s="201" t="str">
        <f>VLOOKUP(Start!$H$22,Header_Data!$A3:$GZ32,178,FALSE)</f>
        <v>(J/N)</v>
      </c>
      <c r="FV4" s="201" t="str">
        <f>VLOOKUP(Start!$H$22,Header_Data!$A3:$GZ32,179,FALSE)</f>
        <v>(I, II, III)</v>
      </c>
      <c r="FW4" s="201" t="str">
        <f>VLOOKUP(Start!$H$22,Header_Data!$A3:$GZ32,180,FALSE)</f>
        <v>(J/N)</v>
      </c>
      <c r="FX4" s="201" t="s">
        <v>663</v>
      </c>
      <c r="FY4" s="201" t="str">
        <f>VLOOKUP(Start!$H$22,Header_Data!$A3:$GZ32,181,FALSE)</f>
        <v>MDR oder MDD</v>
      </c>
      <c r="FZ4" s="201" t="str">
        <f>VLOOKUP(Start!$H$22,Header_Data!$A3:$GZ32,182,FALSE)</f>
        <v>Alphanumerisch</v>
      </c>
      <c r="GA4" s="201" t="str">
        <f>VLOOKUP([1]Start!$H$22,[1]Header_Data!$A3:$GZ32,183,FALSE)</f>
        <v>Alphanumerisch</v>
      </c>
      <c r="GB4" s="201" t="str">
        <f>VLOOKUP([1]Start!$H$22,[1]Header_Data!$A3:$GZ32,184,FALSE)</f>
        <v>tt.mm.jjjj</v>
      </c>
      <c r="GC4" s="201" t="s">
        <v>40</v>
      </c>
      <c r="GD4" s="201" t="str">
        <f>VLOOKUP(Start!$H$22,Header_Data!$A3:$GZ32,186,FALSE)</f>
        <v>(J/N)</v>
      </c>
    </row>
    <row r="5" spans="1:186" s="207" customFormat="1" ht="87" customHeight="1" outlineLevel="1" x14ac:dyDescent="0.3">
      <c r="A5" s="206" t="str">
        <f>VLOOKUP(Start!H23,Header_Data!$A3:$GZ32,2,FALSE)</f>
        <v>Nur für csv-Konvertierung erforderlich</v>
      </c>
      <c r="B5" s="206" t="str">
        <f>VLOOKUP(Start!$H$23,Header_Data!$A3:$GZ32,3,FALSE)</f>
        <v>Pflichtfeld</v>
      </c>
      <c r="C5" s="206" t="str">
        <f>VLOOKUP(Start!$H$23,Header_Data!$A3:$GZ32,4,FALSE)</f>
        <v>Pflichtfeld</v>
      </c>
      <c r="D5" s="206" t="str">
        <f>VLOOKUP(Start!$H$23,Header_Data!$A3:$GZ32,5,FALSE)</f>
        <v>Pflichtfeld</v>
      </c>
      <c r="E5" s="206" t="str">
        <f>VLOOKUP(Start!$H$23,Header_Data!$A3:$GZ32,6,FALSE)</f>
        <v>Pflichtfeld</v>
      </c>
      <c r="F5" s="206" t="str">
        <f>VLOOKUP(Start!$H$23,Header_Data!$A3:$GZ32,7,FALSE)</f>
        <v>Pflichtfeld 
Wenn "N" oder "A", bitte auch die folgenden Felder ausfüllen (graue Spaltenüberschriften).</v>
      </c>
      <c r="G5" s="206" t="str">
        <f>VLOOKUP(Start!$H$23,Header_Data!$A3:$GZ32,8,FALSE)</f>
        <v>abhängiges Feld</v>
      </c>
      <c r="H5" s="206" t="str">
        <f>VLOOKUP(Start!$H$23,Header_Data!$A3:$GZ32,9,FALSE)</f>
        <v>abhängiges Feld</v>
      </c>
      <c r="I5" s="206" t="str">
        <f>VLOOKUP(Start!$H$23,Header_Data!$A3:$GZ32,10,FALSE)</f>
        <v>abhängiges Feld</v>
      </c>
      <c r="J5" s="206" t="str">
        <f>VLOOKUP(Start!$H$23,Header_Data!$A3:$GZ32,11,FALSE)</f>
        <v>abhängiges Feld</v>
      </c>
      <c r="K5" s="206" t="str">
        <f>VLOOKUP(Start!$H$23,Header_Data!$A3:$GZ32,12,FALSE)</f>
        <v>Pflichtfeld 
Wenn "J", bitte auch die folgenden Felder ausfüllen (graue Spaltenüberschriften).</v>
      </c>
      <c r="L5" s="206" t="str">
        <f>VLOOKUP(Start!$H$23,Header_Data!$A3:$GZ32,13,FALSE)</f>
        <v>abhängiges Feld</v>
      </c>
      <c r="M5" s="206" t="str">
        <f>VLOOKUP(Start!$H$23,Header_Data!$A3:$GZ32,14,FALSE)</f>
        <v>abhängiges Feld</v>
      </c>
      <c r="N5" s="206" t="str">
        <f>VLOOKUP(Start!$H$23,Header_Data!$A3:$GZ32,15,FALSE)</f>
        <v>Pflichtfeld</v>
      </c>
      <c r="O5" s="206" t="str">
        <f>VLOOKUP(Start!$H$23,Header_Data!$A3:$GZ32,16,FALSE)</f>
        <v>Pflichtfeld</v>
      </c>
      <c r="P5" s="206" t="str">
        <f>VLOOKUP(Start!$H$23,Header_Data!$A3:$GZ32,17,FALSE)</f>
        <v>Pflichtfeld</v>
      </c>
      <c r="Q5" s="206" t="str">
        <f>VLOOKUP(Start!$H$23,Header_Data!$A3:$GZ32,18,FALSE)</f>
        <v>Pflichtfeld</v>
      </c>
      <c r="R5" s="206" t="str">
        <f>VLOOKUP(Start!$H$23,Header_Data!$A3:$GZ32,19,FALSE)</f>
        <v>Pflichtfeld</v>
      </c>
      <c r="S5" s="206" t="str">
        <f>VLOOKUP(Start!$H$23,Header_Data!$A3:$GZ32,20,FALSE)</f>
        <v>Pflichtfeld</v>
      </c>
      <c r="T5" s="206" t="str">
        <f>VLOOKUP(Start!$H$23,Header_Data!$A3:$GZ32,21,FALSE)</f>
        <v>Pflichtfeld</v>
      </c>
      <c r="U5" s="206" t="str">
        <f>VLOOKUP(Start!$H$23,Header_Data!$A3:$GZ32,22,FALSE)</f>
        <v>Pflichtfeld
Bei "J", bitte rechts alle für diesen Artikel vorhandenen Barcodes angeben.</v>
      </c>
      <c r="V5" s="206" t="str">
        <f>VLOOKUP(Start!$H$23,Header_Data!$A3:$GZ32,23,FALSE)</f>
        <v>abhängiges Feld</v>
      </c>
      <c r="W5" s="206" t="str">
        <f>VLOOKUP(Start!$H$23,Header_Data!$A3:$GZ32,24,FALSE)</f>
        <v>abhängiges Feld</v>
      </c>
      <c r="X5" s="206" t="str">
        <f>VLOOKUP(Start!$H$23,Header_Data!$A3:$GZ32,25,FALSE)</f>
        <v>abhängiges Feld</v>
      </c>
      <c r="Y5" s="206" t="str">
        <f>VLOOKUP(Start!$H$23,Header_Data!$A3:$GZ32,26,FALSE)</f>
        <v>abhängiges Feld</v>
      </c>
      <c r="Z5" s="206" t="str">
        <f>VLOOKUP(Start!$H$23,Header_Data!$A3:$GZ32,27,FALSE)</f>
        <v>abhängiges Feld</v>
      </c>
      <c r="AA5" s="206" t="str">
        <f>VLOOKUP(Start!$H$23,Header_Data!$A3:$GZ32,28,FALSE)</f>
        <v>abhängiges Feld</v>
      </c>
      <c r="AB5" s="206" t="str">
        <f>VLOOKUP(Start!$H$23,Header_Data!$A3:$GZ32,29,FALSE)</f>
        <v>abhängiges Feld</v>
      </c>
      <c r="AC5" s="206" t="str">
        <f>VLOOKUP(Start!$H$23,Header_Data!$A3:$GZ32,30,FALSE)</f>
        <v>abhängiges Feld</v>
      </c>
      <c r="AD5" s="206" t="str">
        <f>VLOOKUP(Start!$H$23,Header_Data!$A3:$GZ32,31,FALSE)</f>
        <v>abhängiges Feld</v>
      </c>
      <c r="AE5" s="206" t="str">
        <f>VLOOKUP(Start!$H$23,Header_Data!$A3:$GZ32,32,FALSE)</f>
        <v>abhängiges Feld</v>
      </c>
      <c r="AF5" s="206" t="str">
        <f>VLOOKUP(Start!$H$23,Header_Data!$A3:$GZ32,33,FALSE)</f>
        <v>Pflichtfeld 
Wenn "J", bitte Code eingeben und das folgende (graue) Feld ausfüllen</v>
      </c>
      <c r="AG5" s="206" t="str">
        <f>VLOOKUP(Start!$H$23,Header_Data!$A3:$GZ32,34,FALSE)</f>
        <v>abhängiges Feld</v>
      </c>
      <c r="AH5" s="206" t="str">
        <f>VLOOKUP(Start!$H$23,Header_Data!$A3:$GZ32,35,FALSE)</f>
        <v xml:space="preserve">Pflichtfeld 
</v>
      </c>
      <c r="AI5" s="206" t="str">
        <f>VLOOKUP(Start!$H$23,Header_Data!$A3:$GZ32,36,FALSE)</f>
        <v>Pflichtfeld</v>
      </c>
      <c r="AJ5" s="206" t="str">
        <f>VLOOKUP(Start!$H$23,Header_Data!$A3:$GZ32,37,FALSE)</f>
        <v>Pflichtfeld</v>
      </c>
      <c r="AK5" s="206" t="str">
        <f>VLOOKUP([1]Start!$H$23,[1]Header_Data!$A3:$GZ32,38,FALSE)</f>
        <v>Pflichtfeld 
Wenn "N", bitte auch das folgende Feld ausfüllen (graue Spaltenüberschrift).</v>
      </c>
      <c r="AL5" s="206" t="str">
        <f>VLOOKUP([1]Start!$H$23,[1]Header_Data!$A3:$GZ32,39,FALSE)</f>
        <v>abhängiges Feld</v>
      </c>
      <c r="AM5" s="206" t="str">
        <f>VLOOKUP([1]Start!$H$23,[1]Header_Data!$A3:$GZ32,40,FALSE)</f>
        <v>Pflichtfeld 
Wenn "J", bitte auch das folgende Feld ausfüllen (graue Spaltenüberschrift).</v>
      </c>
      <c r="AN5" s="206" t="str">
        <f>VLOOKUP([1]Start!$H$23,[1]Header_Data!$A3:$GZ32,41,FALSE)</f>
        <v>abhängiges Feld</v>
      </c>
      <c r="AO5" s="206" t="str">
        <f>VLOOKUP(Start!$H$23,Header_Data!$A3:$GZ32,42,FALSE)</f>
        <v>Pflichtfeld 
Wenn "J", bitte auch die folgenden Felder ausfüllen (graue Spaltenüberschriften).</v>
      </c>
      <c r="AP5" s="206" t="str">
        <f>VLOOKUP(Start!$H$23,Header_Data!$A3:$GZ32,43,FALSE)</f>
        <v>abhängiges Feld</v>
      </c>
      <c r="AQ5" s="206" t="str">
        <f>VLOOKUP(Start!$H$23,Header_Data!$A3:$GZ32,44,FALSE)</f>
        <v>abhängiges Feld</v>
      </c>
      <c r="AR5" s="206" t="str">
        <f>VLOOKUP(Start!$H$23,Header_Data!$A3:$GZ32,45,FALSE)</f>
        <v>abhängiges Feld</v>
      </c>
      <c r="AS5" s="206" t="str">
        <f>VLOOKUP(Start!$H$23,Header_Data!$A3:$GZ32,46,FALSE)</f>
        <v>abhängiges Feld</v>
      </c>
      <c r="AT5" s="206" t="str">
        <f>VLOOKUP(Start!$H$23,Header_Data!$A3:$GZ32,47,FALSE)</f>
        <v>abhängiges Feld</v>
      </c>
      <c r="AU5" s="206" t="str">
        <f>VLOOKUP(Start!$H$23,Header_Data!$A3:$GZ32,48,FALSE)</f>
        <v>abhängiges Feld</v>
      </c>
      <c r="AV5" s="206" t="str">
        <f>VLOOKUP([1]Start!$H$23,[1]Header_Data!$A3:$GZ32,49,FALSE)</f>
        <v>Pflichtfeld 
Wenn "J", bitte auch die folgenden Felder ausfüllen (graue Spaltenüberschriften).</v>
      </c>
      <c r="AW5" s="206" t="str">
        <f>VLOOKUP([1]Start!$H$23,[1]Header_Data!$A3:$GZ32,50,FALSE)</f>
        <v>abhängiges Feld</v>
      </c>
      <c r="AX5" s="206" t="str">
        <f>VLOOKUP([1]Start!$H$23,[1]Header_Data!$A3:$GZ32,51,FALSE)</f>
        <v>abhängiges Feld</v>
      </c>
      <c r="AY5" s="206" t="str">
        <f>VLOOKUP([1]Start!$H$23,[1]Header_Data!$A3:$GZ32,52,FALSE)</f>
        <v>abhängiges Feld</v>
      </c>
      <c r="AZ5" s="206" t="str">
        <f>VLOOKUP([1]Start!$H$23,[1]Header_Data!$A3:$GZ32,53,FALSE)</f>
        <v>abhängiges Feld</v>
      </c>
      <c r="BA5" s="206" t="str">
        <f>VLOOKUP([1]Start!$H$23,[1]Header_Data!$A3:$GZ32,54,FALSE)</f>
        <v>abhängiges Feld</v>
      </c>
      <c r="BB5" s="206" t="str">
        <f>VLOOKUP([1]Start!$H$23,[1]Header_Data!$A3:$GZ32,55,FALSE)</f>
        <v>abhängiges Feld</v>
      </c>
      <c r="BC5" s="206" t="str">
        <f>VLOOKUP([1]Start!$H$23,[1]Header_Data!$A3:$GZ32,56,FALSE)</f>
        <v>abhängiges Feld</v>
      </c>
      <c r="BD5" s="206" t="str">
        <f>VLOOKUP([1]Start!$H$23,[1]Header_Data!$A3:$GZ32,57,FALSE)</f>
        <v>abhängiges Feld</v>
      </c>
      <c r="BE5" s="206" t="str">
        <f>VLOOKUP([1]Start!$H$23,[1]Header_Data!$A3:$GZ32,58,FALSE)</f>
        <v>abhängiges Feld</v>
      </c>
      <c r="BF5" s="206" t="str">
        <f>VLOOKUP([1]Start!$H$23,[1]Header_Data!$A3:$GZ32,59,FALSE)</f>
        <v>abhängiges Feld</v>
      </c>
      <c r="BG5" s="206" t="str">
        <f>VLOOKUP([1]Start!$H$23,[1]Header_Data!$A3:$GZ32,60,FALSE)</f>
        <v>abhängiges Feld</v>
      </c>
      <c r="BH5" s="206" t="str">
        <f>VLOOKUP([1]Start!$H$23,[1]Header_Data!$A3:$GZ32,61,FALSE)</f>
        <v>Pflichtfeld 
Wenn "J", bitte auch die folgenden Felder ausfüllen (graue Spaltenüberschriften) sowie Spalte 181 ff.</v>
      </c>
      <c r="BI5" s="206" t="str">
        <f>VLOOKUP([1]Start!$H$23,[1]Header_Data!$A3:$GZ32,62,FALSE)</f>
        <v>abhängiges Feld</v>
      </c>
      <c r="BJ5" s="206" t="str">
        <f>VLOOKUP([1]Start!$H$23,[1]Header_Data!$A3:$GZ32,63,FALSE)</f>
        <v>abhängiges Feld</v>
      </c>
      <c r="BK5" s="206" t="str">
        <f>VLOOKUP([1]Start!$H$23,[1]Header_Data!$A3:$GZ32,64,FALSE)</f>
        <v>abhängiges Feld</v>
      </c>
      <c r="BL5" s="206" t="str">
        <f>VLOOKUP([1]Start!$H$23,[1]Header_Data!$A3:$GZ32,65,FALSE)</f>
        <v>Pflichtfeld 
Wenn "J", bitte auch das folgende Feld ausfüllen (graue Spaltenüberschrift).</v>
      </c>
      <c r="BM5" s="206" t="str">
        <f>VLOOKUP([1]Start!$H$23,[1]Header_Data!$A3:$GZ32,66,FALSE)</f>
        <v>abhängiges Feld</v>
      </c>
      <c r="BN5" s="206" t="str">
        <f>VLOOKUP(Start!$H$23,Header_Data!$A3:$GZ32,67,FALSE)</f>
        <v>Pflichtfeld 
Wenn "J", bitte auch das folgende Feld ausfüllen (graue Spaltenüberschrift).</v>
      </c>
      <c r="BO5" s="206" t="str">
        <f>VLOOKUP(Start!$H$23,Header_Data!$A3:$GZ32,68,FALSE)</f>
        <v>abhängiges Feld</v>
      </c>
      <c r="BP5" s="206" t="str">
        <f>VLOOKUP(Start!$H$23,Header_Data!$A3:$GZ32,69,FALSE)</f>
        <v>Pflichtfeld</v>
      </c>
      <c r="BQ5" s="206" t="str">
        <f>VLOOKUP(Start!$H$23,Header_Data!$A3:$GZ32,70,FALSE)</f>
        <v>Pflichtfeld</v>
      </c>
      <c r="BR5" s="206" t="str">
        <f>VLOOKUP(Start!$H$23,Header_Data!$A3:$GZ32,71,FALSE)</f>
        <v>Pflichtfeld</v>
      </c>
      <c r="BS5" s="206" t="str">
        <f>VLOOKUP(Start!$H$23,Header_Data!$A3:$GZ32,72,FALSE)</f>
        <v>Pflichtfeld 
Wenn "J", bitte auch die folgenden Felder ausfüllen (graue Spaltenüberschriften).</v>
      </c>
      <c r="BT5" s="206" t="str">
        <f>VLOOKUP(Start!$H$23,Header_Data!$A3:$GZ32,73,FALSE)</f>
        <v>abhängiges Feld</v>
      </c>
      <c r="BU5" s="206" t="str">
        <f>VLOOKUP(Start!$H$23,Header_Data!$A3:$GZ32,74,FALSE)</f>
        <v>abhängiges Feld</v>
      </c>
      <c r="BV5" s="206" t="str">
        <f>VLOOKUP(Start!$H$23,Header_Data!$A3:$GZ32,75,FALSE)</f>
        <v>Pflichtfeld 
Wenn "J", bitte auch die folgenden Felder ausfüllen (graue Spaltenüberschriften).</v>
      </c>
      <c r="BW5" s="206" t="str">
        <f>VLOOKUP(Start!$H$23,Header_Data!$A3:$GZ32,76,FALSE)</f>
        <v>abhängiges Feld</v>
      </c>
      <c r="BX5" s="206" t="str">
        <f>VLOOKUP(Start!$H$23,Header_Data!$A3:$GZ32,77,FALSE)</f>
        <v>abhängiges Feld</v>
      </c>
      <c r="BY5" s="206" t="str">
        <f>VLOOKUP(Start!$H$23,Header_Data!$A3:$GZ32,78,FALSE)</f>
        <v>abhängiges Feld</v>
      </c>
      <c r="BZ5" s="206" t="str">
        <f>VLOOKUP(Start!$H$23,Header_Data!$A3:$GZ32,79,FALSE)</f>
        <v>abhängiges Feld</v>
      </c>
      <c r="CA5" s="206" t="str">
        <f>VLOOKUP(Start!$H$23,Header_Data!$A3:$GZ32,80,FALSE)</f>
        <v>abhängiges Feld</v>
      </c>
      <c r="CB5" s="206" t="str">
        <f>VLOOKUP(Start!$H$23,Header_Data!$A3:$GZ32,81,FALSE)</f>
        <v>abhängiges Feld</v>
      </c>
      <c r="CC5" s="206" t="str">
        <f>VLOOKUP(Start!$H$23,Header_Data!$A3:$GZ32,82,FALSE)</f>
        <v>abhängiges Feld</v>
      </c>
      <c r="CD5" s="206" t="str">
        <f>VLOOKUP(Start!$H$23,Header_Data!$A3:$GZ32,83,FALSE)</f>
        <v>abhängiges Feld</v>
      </c>
      <c r="CE5" s="206" t="str">
        <f>VLOOKUP(Start!$H$23,Header_Data!$A3:$GZ32,84,FALSE)</f>
        <v>abhängiges Feld</v>
      </c>
      <c r="CF5" s="206" t="str">
        <f>VLOOKUP(Start!$H$23,Header_Data!$A3:$GZ32,85,FALSE)</f>
        <v>abhängiges Feld</v>
      </c>
      <c r="CG5" s="206" t="str">
        <f>VLOOKUP(Start!$H$23,Header_Data!$A3:$GZ32,86,FALSE)</f>
        <v>abhängiges Feld</v>
      </c>
      <c r="CH5" s="206" t="str">
        <f>VLOOKUP(Start!$H$23,Header_Data!$A3:$GZ32,87,FALSE)</f>
        <v>abhängiges Feld</v>
      </c>
      <c r="CI5" s="206" t="str">
        <f>VLOOKUP(Start!$H$23,Header_Data!$A3:$GZ32,88,FALSE)</f>
        <v>abhängiges Feld</v>
      </c>
      <c r="CJ5" s="206" t="str">
        <f>VLOOKUP(Start!$H$23,Header_Data!$A3:$GZ32,89,FALSE)</f>
        <v>abhängiges Feld</v>
      </c>
      <c r="CK5" s="206" t="str">
        <f>VLOOKUP(Start!$H$23,Header_Data!$A3:$GZ32,90,FALSE)</f>
        <v>abhängiges Feld</v>
      </c>
      <c r="CL5" s="206" t="str">
        <f>VLOOKUP(Start!$H$23,Header_Data!$A3:$GZ32,91,FALSE)</f>
        <v>abhängiges Feld</v>
      </c>
      <c r="CM5" s="206" t="str">
        <f>VLOOKUP(Start!$H$23,Header_Data!$A3:$GZ32,92,FALSE)</f>
        <v>abhängiges Feld</v>
      </c>
      <c r="CN5" s="206" t="str">
        <f>VLOOKUP(Start!$H$23,Header_Data!$A3:$GZ32,93,FALSE)</f>
        <v>Pflichtfeld</v>
      </c>
      <c r="CO5" s="206" t="str">
        <f>VLOOKUP(Start!$H$23,Header_Data!$A3:$GZ32,94,FALSE)</f>
        <v>Pflichtfeld 
Wenn "J", bitte auch die folgenden Felder ausfüllen (graue Spaltenüberschriften).</v>
      </c>
      <c r="CP5" s="206" t="str">
        <f>VLOOKUP(Start!$H$23,Header_Data!$A3:$GZ32,95,FALSE)</f>
        <v>abhängiges Feld</v>
      </c>
      <c r="CQ5" s="206" t="str">
        <f>VLOOKUP(Start!$H$23,Header_Data!$A3:$GZ32,96,FALSE)</f>
        <v>abhängiges Feld</v>
      </c>
      <c r="CR5" s="206" t="str">
        <f>VLOOKUP(Start!$H$23,Header_Data!$A3:$GZ32,97,FALSE)</f>
        <v>abhängiges Feld</v>
      </c>
      <c r="CS5" s="206" t="str">
        <f>VLOOKUP(Start!$H$23,Header_Data!$A3:$GZ32,98,FALSE)</f>
        <v>Pflichtfeld 
Wenn "J", bitte auch die folgenden Felder ausfüllen (graue Spaltenüberschriften).</v>
      </c>
      <c r="CT5" s="206" t="str">
        <f>VLOOKUP(Start!$H$23,Header_Data!$A3:$GZ32,99,FALSE)</f>
        <v>abhängiges Feld</v>
      </c>
      <c r="CU5" s="206" t="str">
        <f>VLOOKUP(Start!$H$23,Header_Data!$A3:$GZ32,100,FALSE)</f>
        <v>abhängiges Feld</v>
      </c>
      <c r="CV5" s="206" t="str">
        <f>VLOOKUP(Start!$H$23,Header_Data!$A3:$GZ32,102,FALSE)</f>
        <v>abhängiges Feld</v>
      </c>
      <c r="CW5" s="206" t="str">
        <f>VLOOKUP(Start!$H$23,Header_Data!$A3:$GZ32,102,FALSE)</f>
        <v>abhängiges Feld</v>
      </c>
      <c r="CX5" s="206" t="str">
        <f>VLOOKUP(Start!$H$23,Header_Data!$A3:$GZ32,103,FALSE)</f>
        <v>abhängiges Feld</v>
      </c>
      <c r="CY5" s="206" t="str">
        <f>VLOOKUP(Start!$H$23,Header_Data!$A3:$GZ32,104,FALSE)</f>
        <v>abhängiges Feld</v>
      </c>
      <c r="CZ5" s="206" t="str">
        <f>VLOOKUP(Start!$H$23,Header_Data!$A3:$GZ32,105,FALSE)</f>
        <v>abhängiges Feld</v>
      </c>
      <c r="DA5" s="206" t="str">
        <f>VLOOKUP(Start!$H$23,Header_Data!$A3:$GZ32,106,FALSE)</f>
        <v>Pflichtfeld 
Wenn "J", bitte auch das folgende Feld ausfüllen (graue Spaltenüberschrift).</v>
      </c>
      <c r="DB5" s="206" t="str">
        <f>VLOOKUP(Start!$H$23,Header_Data!$A3:$GZ32,107,FALSE)</f>
        <v>abhängiges Feld</v>
      </c>
      <c r="DC5" s="206" t="str">
        <f>VLOOKUP(Start!$H$23,Header_Data!$A3:$GZ32,108,FALSE)</f>
        <v>Pflichtfeld 
Wenn "J", bitte auch die folgenden Felder ausfüllen (graue Spaltenüberschriften).</v>
      </c>
      <c r="DD5" s="206" t="str">
        <f>VLOOKUP(Start!$H$23,Header_Data!$A3:$GZ32,110,FALSE)</f>
        <v>abhängiges Feld</v>
      </c>
      <c r="DE5" s="206" t="str">
        <f>VLOOKUP(Start!$H$23,Header_Data!$A3:$GZ32,110,FALSE)</f>
        <v>abhängiges Feld</v>
      </c>
      <c r="DF5" s="206" t="str">
        <f>VLOOKUP(Start!$H$23,Header_Data!$A3:$GZ32,111,FALSE)</f>
        <v>Pflichtfeld 
Wenn "J", bitte auch die folgenden Felder ausfüllen (graue Spaltenüberschriften)</v>
      </c>
      <c r="DG5" s="206" t="str">
        <f>VLOOKUP(Start!$H$23,Header_Data!$A3:$GZ32,112,FALSE)</f>
        <v>abhängiges Feld</v>
      </c>
      <c r="DH5" s="206" t="str">
        <f>VLOOKUP(Start!$H$23,Header_Data!$A3:$GZ32,113,FALSE)</f>
        <v>abhängiges Feld</v>
      </c>
      <c r="DI5" s="206" t="str">
        <f>VLOOKUP(Start!$H$23,Header_Data!$A3:$GZ32,114,FALSE)</f>
        <v>abhängiges Feld</v>
      </c>
      <c r="DJ5" s="206" t="str">
        <f>VLOOKUP(Start!$H$23,Header_Data!$A3:$GZ32,115,FALSE)</f>
        <v>abhängiges Feld</v>
      </c>
      <c r="DK5" s="206" t="str">
        <f>VLOOKUP(Start!$H$23,Header_Data!$A3:$GZ32,116,FALSE)</f>
        <v>Pflichtfeld 
Wenn "J", bitte auch die folgenden Felder ausfüllen (graue Spaltenüberschriften).</v>
      </c>
      <c r="DL5" s="206" t="str">
        <f>VLOOKUP(Start!$H$23,Header_Data!$A3:$GZ32,117,FALSE)</f>
        <v>abhängiges Feld</v>
      </c>
      <c r="DM5" s="206" t="str">
        <f>VLOOKUP(Start!$H$23,Header_Data!$A3:$GZ32,118,FALSE)</f>
        <v>abhängiges Feld</v>
      </c>
      <c r="DN5" s="206" t="str">
        <f>VLOOKUP(Start!$H$23,Header_Data!$A3:$GZ32,119,FALSE)</f>
        <v>abhängiges Feld</v>
      </c>
      <c r="DO5" s="206" t="str">
        <f>VLOOKUP(Start!$H$23,Header_Data!$A3:$GZ32,120,FALSE)</f>
        <v>abhängiges Feld</v>
      </c>
      <c r="DP5" s="206" t="str">
        <f>VLOOKUP(Start!$H$23,Header_Data!$A3:$GZ32,121,FALSE)</f>
        <v>Pflichtfeld - Bitte die Felder 34.1 -34.6. komplett ausfüllen, wenn Antwort "N" oder wenn der Artikel auch außerhalb DE zugelassen ist.</v>
      </c>
      <c r="DQ5" s="206" t="str">
        <f>VLOOKUP(Start!$H$23,Header_Data!$A3:$GZ32,122,FALSE)</f>
        <v>abhängiges Feld</v>
      </c>
      <c r="DR5" s="206" t="str">
        <f>VLOOKUP(Start!$H$23,Header_Data!$A3:$GZ32,123,FALSE)</f>
        <v>abhängiges Feld</v>
      </c>
      <c r="DS5" s="206" t="str">
        <f>VLOOKUP(Start!$H$23,Header_Data!$A3:$GZ32,124,FALSE)</f>
        <v>abhängiges Feld</v>
      </c>
      <c r="DT5" s="206" t="str">
        <f>VLOOKUP(Start!$H$23,Header_Data!$A3:$GZ32,125,FALSE)</f>
        <v>abhängiges Feld</v>
      </c>
      <c r="DU5" s="206" t="str">
        <f>VLOOKUP(Start!$H$23,Header_Data!$A3:$GZ32,126,FALSE)</f>
        <v>abhängiges Feld</v>
      </c>
      <c r="DV5" s="206" t="str">
        <f>VLOOKUP(Start!$H$23,Header_Data!$A3:$GZ32,127,FALSE)</f>
        <v>abhängiges Feld</v>
      </c>
      <c r="DW5" s="206" t="str">
        <f>VLOOKUP(Start!$H$23,Header_Data!$A3:$GZ32,128,FALSE)</f>
        <v>abhängiges Feld</v>
      </c>
      <c r="DX5" s="206" t="str">
        <f>VLOOKUP(Start!$H$23,Header_Data!$A3:$GZ32,129,FALSE)</f>
        <v>abhängiges Feld</v>
      </c>
      <c r="DY5" s="206" t="str">
        <f>VLOOKUP(Start!$H$23,Header_Data!$A3:$GZ32,130,FALSE)</f>
        <v>abhängiges Feld</v>
      </c>
      <c r="DZ5" s="206" t="str">
        <f>VLOOKUP(Start!$H$23,Header_Data!$A3:$GZ32,131,FALSE)</f>
        <v>abhängiges Feld</v>
      </c>
      <c r="EA5" s="206" t="str">
        <f>VLOOKUP(Start!$H$23,Header_Data!$A3:$GZ32,132,FALSE)</f>
        <v>abhängiges Feld</v>
      </c>
      <c r="EB5" s="206" t="str">
        <f>VLOOKUP(Start!$H$23,Header_Data!$A3:$GZ32,133,FALSE)</f>
        <v>abhängiges Feld</v>
      </c>
      <c r="EC5" s="206" t="str">
        <f>VLOOKUP(Start!$H$23,Header_Data!$A3:$GZ32,134,FALSE)</f>
        <v>abhängiges Feld</v>
      </c>
      <c r="ED5" s="206" t="str">
        <f>VLOOKUP(Start!$H$23,Header_Data!$A3:$GZ32,135,FALSE)</f>
        <v>abhängiges Feld</v>
      </c>
      <c r="EE5" s="206" t="str">
        <f>VLOOKUP(Start!$H$23,Header_Data!$A3:$GZ32,136,FALSE)</f>
        <v>abhängiges Feld</v>
      </c>
      <c r="EF5" s="206" t="str">
        <f>VLOOKUP(Start!$H$23,Header_Data!$A3:$GZ32,137,FALSE)</f>
        <v>abhängiges Feld</v>
      </c>
      <c r="EG5" s="206" t="str">
        <f>VLOOKUP(Start!$H$23,Header_Data!$A3:$GZ32,138,FALSE)</f>
        <v>abhängiges Feld</v>
      </c>
      <c r="EH5" s="206" t="str">
        <f>VLOOKUP(Start!$H$23,Header_Data!$A3:$GZ32,139,FALSE)</f>
        <v>abhängiges Feld</v>
      </c>
      <c r="EI5" s="206" t="str">
        <f>VLOOKUP(Start!$H$23,Header_Data!$A3:$GZ32,140,FALSE)</f>
        <v>abhängiges Feld</v>
      </c>
      <c r="EJ5" s="206" t="str">
        <f>VLOOKUP(Start!$H$23,Header_Data!$A3:$GZ32,141,FALSE)</f>
        <v>abhängiges Feld</v>
      </c>
      <c r="EK5" s="206" t="str">
        <f>VLOOKUP(Start!$H$23,Header_Data!$A3:$GZ32,142,FALSE)</f>
        <v>abhängiges Feld</v>
      </c>
      <c r="EL5" s="206" t="str">
        <f>VLOOKUP(Start!$H$23,Header_Data!$A3:$GZ32,143,FALSE)</f>
        <v>Pflichtfeld</v>
      </c>
      <c r="EM5" s="206" t="str">
        <f>VLOOKUP(Start!$H$23,Header_Data!$A3:$GZ32,144,FALSE)</f>
        <v>Pflichtfeld</v>
      </c>
      <c r="EN5" s="206" t="str">
        <f>VLOOKUP(Start!$H$23,Header_Data!$A3:$GZ32,145,FALSE)</f>
        <v>Pflichtfeld</v>
      </c>
      <c r="EO5" s="206" t="str">
        <f>VLOOKUP(Start!$H$23,Header_Data!$A3:$GZ32,146,FALSE)</f>
        <v>Pflichtfeld</v>
      </c>
      <c r="EP5" s="206" t="str">
        <f>VLOOKUP(Start!$H$23,Header_Data!$A3:$GZ32,147,FALSE)</f>
        <v>Pflichtfeld</v>
      </c>
      <c r="EQ5" s="206" t="str">
        <f>VLOOKUP(Start!$H$23,Header_Data!$A3:$GZ32,148,FALSE)</f>
        <v>Pflichtfeld</v>
      </c>
      <c r="ER5" s="206" t="str">
        <f>VLOOKUP(Start!$H$23,Header_Data!$A3:$GZ32,149,FALSE)</f>
        <v>Pflichtfeld</v>
      </c>
      <c r="ES5" s="206" t="str">
        <f>VLOOKUP(Start!$H$23,Header_Data!$A3:$GZ32,150,FALSE)</f>
        <v>Pflichtfeld 
Wenn "J", bitte die folgenden Felder (graue Spaltenüberschriften) ausfüllen.</v>
      </c>
      <c r="ET5" s="206" t="str">
        <f>VLOOKUP(Start!$H$23,Header_Data!$A3:$GZ32,151,FALSE)</f>
        <v>abhängiges Feld</v>
      </c>
      <c r="EU5" s="206" t="str">
        <f>VLOOKUP(Start!$H$23,Header_Data!$A3:$GZ32,152,FALSE)</f>
        <v>abhängiges Feld</v>
      </c>
      <c r="EV5" s="206" t="str">
        <f>VLOOKUP(Start!$H$23,Header_Data!$A3:$GZ32,153,FALSE)</f>
        <v>abhängiges Feld</v>
      </c>
      <c r="EW5" s="206" t="str">
        <f>VLOOKUP(Start!$H$23,Header_Data!$A3:$GZ32,154,FALSE)</f>
        <v>abhängiges Feld</v>
      </c>
      <c r="EX5" s="206" t="str">
        <f>VLOOKUP(Start!$H$23,Header_Data!$A3:$GZ32,155,FALSE)</f>
        <v>abhängiges Feld</v>
      </c>
      <c r="EY5" s="206" t="str">
        <f>VLOOKUP(Start!$H$23,Header_Data!$A3:$GZ32,156,FALSE)</f>
        <v>abhängiges Feld</v>
      </c>
      <c r="EZ5" s="206" t="str">
        <f>VLOOKUP(Start!$H$23,Header_Data!$A3:$GZ32,157,FALSE)</f>
        <v>abhängiges Feld</v>
      </c>
      <c r="FA5" s="206" t="str">
        <f>VLOOKUP(Start!$H$23,Header_Data!$A3:$GZ32,158,FALSE)</f>
        <v>Pflichtfeld 
Wenn "J", bitte auch die folgenden Felder ausfüllen (graue Spaltenüberschriften).</v>
      </c>
      <c r="FB5" s="206" t="str">
        <f>VLOOKUP(Start!$H$23,Header_Data!$A3:$GZ32,159,FALSE)</f>
        <v>abhängiges Feld</v>
      </c>
      <c r="FC5" s="206" t="str">
        <f>VLOOKUP(Start!$H$23,Header_Data!$A3:$GZ32,160,FALSE)</f>
        <v>abhängiges Feld</v>
      </c>
      <c r="FD5" s="206" t="str">
        <f>VLOOKUP(Start!$H$23,Header_Data!$A3:$GZ32,161,FALSE)</f>
        <v>abhängiges Feld</v>
      </c>
      <c r="FE5" s="206" t="str">
        <f>VLOOKUP(Start!$H$23,Header_Data!$A3:$GZ32,162,FALSE)</f>
        <v>Pflichtfeld</v>
      </c>
      <c r="FF5" s="206" t="str">
        <f>VLOOKUP(Start!$H$23,Header_Data!$A3:$GZ32,163,FALSE)</f>
        <v>Pflichtfeld</v>
      </c>
      <c r="FG5" s="206" t="str">
        <f>VLOOKUP(Start!$H$23,Header_Data!$A3:$GZ32,164,FALSE)</f>
        <v>Pflichtfeld</v>
      </c>
      <c r="FH5" s="206" t="str">
        <f>VLOOKUP(Start!$H$23,Header_Data!$A3:$GZ32,165,FALSE)</f>
        <v>Pflichtfeld</v>
      </c>
      <c r="FI5" s="206" t="str">
        <f>VLOOKUP(Start!$H$23,Header_Data!$A3:$GZ32,166,FALSE)</f>
        <v>Pflichtfeld</v>
      </c>
      <c r="FJ5" s="206" t="str">
        <f>VLOOKUP(Start!$H$23,Header_Data!$A3:$GZ32,167,FALSE)</f>
        <v>Kannfeld</v>
      </c>
      <c r="FK5" s="206" t="str">
        <f>VLOOKUP(Start!$H$23,Header_Data!$A3:$GZ32,168,FALSE)</f>
        <v>abhängiges Feld</v>
      </c>
      <c r="FL5" s="206" t="str">
        <f>VLOOKUP(Start!$H$23,Header_Data!$A3:$GZ32,169,FALSE)</f>
        <v>Pflichtfeld</v>
      </c>
      <c r="FM5" s="206" t="str">
        <f>VLOOKUP(Start!$H$23,Header_Data!$A3:$GZ32,170,FALSE)</f>
        <v>Pflichtfeld
Bitte Besonderheiten aufführen bzw. bei Anhängen die Dateinamen in den folgenden Feldern eintragen (graue Spaltenüberschriften).</v>
      </c>
      <c r="FN5" s="206" t="str">
        <f>VLOOKUP(Start!$H$23,Header_Data!$A3:$GZ32,171,FALSE)</f>
        <v>abhängiges Feld, wenn ein SET vorliegt, bitte alle relvanten SDB durch "/" getrennt aufführen</v>
      </c>
      <c r="FO5" s="206" t="str">
        <f>VLOOKUP(Start!$H$23,Header_Data!$A3:$GZ32,172,FALSE)</f>
        <v>abhängiges Feld, wenn ein SET vorliegt, bitte alle relvanten Bilder durch "/" getrennt aufführen</v>
      </c>
      <c r="FP5" s="206" t="str">
        <f>VLOOKUP(Start!$H$23,Header_Data!$A3:$GZ32,173,FALSE)</f>
        <v>abhängiges Feld, wenn ein SET vorliegt, bitte Name der Stückliste oder Produktbeschreibung angeben</v>
      </c>
      <c r="FQ5" s="206" t="str">
        <f>VLOOKUP([1]Start!$H$23,[1]Header_Data!$A3:$GZ32,174,FALSE)</f>
        <v>abhängiges Feld</v>
      </c>
      <c r="FR5" s="206" t="str">
        <f>VLOOKUP([1]Start!$H$23,[1]Header_Data!$A3:$GZ32,175,FALSE)</f>
        <v>abhängiges Feld</v>
      </c>
      <c r="FS5" s="206" t="str">
        <f>VLOOKUP(Start!$H$23,Header_Data!$A3:$GZ32,176,FALSE)</f>
        <v>Pflichtfeld 
Wenn "J", bitte auch die folgenden Felder ausfüllen (graue Spaltenüberschriften).</v>
      </c>
      <c r="FT5" s="206" t="str">
        <f>VLOOKUP(Start!$H$23,Header_Data!$A3:$GZ32,177,FALSE)</f>
        <v>abhängiges Feld</v>
      </c>
      <c r="FU5" s="206" t="str">
        <f>VLOOKUP(Start!$H$23,Header_Data!$A3:$GZ32,178,FALSE)</f>
        <v>Pflichtfeld 
Wenn "J", bitte auch die folgenden Felder ausfüllen (graue Spaltenüberschriften).</v>
      </c>
      <c r="FV5" s="206" t="str">
        <f>VLOOKUP(Start!$H$23,Header_Data!$A3:$GZ32,179,FALSE)</f>
        <v>abhängiges Feld</v>
      </c>
      <c r="FW5" s="206" t="str">
        <f>VLOOKUP(Start!$H$23,Header_Data!$A3:$GZ32,180,FALSE)</f>
        <v>Pflichtfeld 
Wenn "J", bitte in 47.1. alle relevanten SDB aufführen und in 47.3. Name der Stückliste/ Produktbeschreibung angeben</v>
      </c>
      <c r="FX5" s="206" t="s">
        <v>41</v>
      </c>
      <c r="FY5" s="206" t="str">
        <f>VLOOKUP(Start!$H$23,Header_Data!$A3:$GZ32,181,FALSE)</f>
        <v>abhängiges Feld</v>
      </c>
      <c r="FZ5" s="206" t="str">
        <f>VLOOKUP(Start!$H$23,Header_Data!$A3:$GZ32,182,FALSE)</f>
        <v>abhängiges Feld</v>
      </c>
      <c r="GA5" s="206" t="str">
        <f>VLOOKUP([1]Start!$H$23,[1]Header_Data!$A3:$GZ32,183,FALSE)</f>
        <v>abhängiges Feld</v>
      </c>
      <c r="GB5" s="206" t="str">
        <f>VLOOKUP([1]Start!$H$23,[1]Header_Data!$A3:$GZ32,184,FALSE)</f>
        <v>abhängiges Feld</v>
      </c>
      <c r="GC5" s="206" t="s">
        <v>41</v>
      </c>
      <c r="GD5" s="206" t="str">
        <f>VLOOKUP(Start!$H$23,Header_Data!$A3:$GZ32,186,FALSE)</f>
        <v>abhängiges Feld</v>
      </c>
    </row>
    <row r="6" spans="1:186" s="207" customFormat="1" ht="17.25" customHeight="1" x14ac:dyDescent="0.3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  <c r="FI6" s="206"/>
      <c r="FJ6" s="206"/>
      <c r="FK6" s="206"/>
      <c r="FL6" s="206"/>
      <c r="FM6" s="206"/>
      <c r="FN6" s="206"/>
      <c r="FO6" s="206"/>
      <c r="FP6" s="206"/>
      <c r="FQ6" s="206"/>
      <c r="FR6" s="206"/>
      <c r="FS6" s="206"/>
      <c r="FT6" s="206"/>
      <c r="FU6" s="206"/>
      <c r="FV6" s="206"/>
      <c r="FW6" s="206"/>
      <c r="FX6" s="206"/>
      <c r="FY6" s="206"/>
      <c r="FZ6" s="208"/>
    </row>
    <row r="7" spans="1:186" s="224" customFormat="1" ht="42" customHeight="1" x14ac:dyDescent="0.3">
      <c r="A7" s="210" t="s">
        <v>12</v>
      </c>
      <c r="B7" s="211" t="s">
        <v>13</v>
      </c>
      <c r="C7" s="212" t="s">
        <v>14</v>
      </c>
      <c r="D7" s="103" t="s">
        <v>15</v>
      </c>
      <c r="E7" s="213">
        <v>2958465</v>
      </c>
      <c r="F7" s="211" t="s">
        <v>16</v>
      </c>
      <c r="G7" s="211">
        <v>6789</v>
      </c>
      <c r="H7" s="213">
        <v>47484</v>
      </c>
      <c r="I7" s="213">
        <v>47484</v>
      </c>
      <c r="J7" s="211" t="s">
        <v>17</v>
      </c>
      <c r="K7" s="211" t="s">
        <v>16</v>
      </c>
      <c r="L7" s="211"/>
      <c r="M7" s="211"/>
      <c r="N7" s="214" t="s">
        <v>18</v>
      </c>
      <c r="O7" s="211">
        <v>12345</v>
      </c>
      <c r="P7" s="211" t="s">
        <v>52</v>
      </c>
      <c r="Q7" s="214" t="s">
        <v>18</v>
      </c>
      <c r="R7" s="211">
        <v>69406</v>
      </c>
      <c r="S7" s="215" t="s">
        <v>695</v>
      </c>
      <c r="T7" s="211" t="s">
        <v>16</v>
      </c>
      <c r="U7" s="211" t="s">
        <v>21</v>
      </c>
      <c r="V7" s="216">
        <v>4054596540835</v>
      </c>
      <c r="W7" s="217"/>
      <c r="X7" s="217"/>
      <c r="Y7" s="217"/>
      <c r="Z7" s="217"/>
      <c r="AA7" s="217"/>
      <c r="AB7" s="217"/>
      <c r="AC7" s="217"/>
      <c r="AD7" s="217"/>
      <c r="AE7" s="217"/>
      <c r="AF7" s="217" t="s">
        <v>16</v>
      </c>
      <c r="AG7" s="217"/>
      <c r="AH7" s="218" t="s">
        <v>22</v>
      </c>
      <c r="AI7" s="217" t="s">
        <v>53</v>
      </c>
      <c r="AJ7" s="217" t="s">
        <v>16</v>
      </c>
      <c r="AK7" s="217"/>
      <c r="AL7" s="217"/>
      <c r="AM7" s="217"/>
      <c r="AN7" s="217"/>
      <c r="AO7" s="219" t="s">
        <v>21</v>
      </c>
      <c r="AP7" s="219">
        <v>5</v>
      </c>
      <c r="AQ7" s="219">
        <v>12</v>
      </c>
      <c r="AR7" s="219">
        <v>5</v>
      </c>
      <c r="AS7" s="219">
        <v>30</v>
      </c>
      <c r="AT7" s="219">
        <v>10</v>
      </c>
      <c r="AU7" s="219" t="s">
        <v>21</v>
      </c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7" t="s">
        <v>21</v>
      </c>
      <c r="BO7" s="217" t="s">
        <v>54</v>
      </c>
      <c r="BP7" s="218" t="s">
        <v>16</v>
      </c>
      <c r="BQ7" s="218" t="s">
        <v>16</v>
      </c>
      <c r="BR7" s="218">
        <v>20</v>
      </c>
      <c r="BS7" s="218" t="s">
        <v>21</v>
      </c>
      <c r="BT7" s="217"/>
      <c r="BU7" s="217"/>
      <c r="BV7" s="218" t="s">
        <v>21</v>
      </c>
      <c r="BW7" s="220" t="s">
        <v>55</v>
      </c>
      <c r="BX7" s="218">
        <v>9</v>
      </c>
      <c r="BY7" s="220" t="s">
        <v>56</v>
      </c>
      <c r="BZ7" s="218" t="s">
        <v>57</v>
      </c>
      <c r="CA7" s="218">
        <v>90</v>
      </c>
      <c r="CB7" s="218">
        <v>0</v>
      </c>
      <c r="CC7" s="218" t="s">
        <v>58</v>
      </c>
      <c r="CD7" s="218"/>
      <c r="CE7" s="218"/>
      <c r="CF7" s="218" t="s">
        <v>59</v>
      </c>
      <c r="CG7" s="218" t="s">
        <v>60</v>
      </c>
      <c r="CH7" s="218" t="s">
        <v>61</v>
      </c>
      <c r="CI7" s="218" t="s">
        <v>62</v>
      </c>
      <c r="CJ7" s="218" t="s">
        <v>63</v>
      </c>
      <c r="CK7" s="218" t="s">
        <v>64</v>
      </c>
      <c r="CL7" s="217"/>
      <c r="CM7" s="217"/>
      <c r="CN7" s="218" t="s">
        <v>21</v>
      </c>
      <c r="CO7" s="218" t="s">
        <v>21</v>
      </c>
      <c r="CP7" s="218" t="s">
        <v>21</v>
      </c>
      <c r="CQ7" s="218" t="s">
        <v>16</v>
      </c>
      <c r="CR7" s="218" t="s">
        <v>16</v>
      </c>
      <c r="CS7" s="218" t="s">
        <v>16</v>
      </c>
      <c r="CT7" s="217"/>
      <c r="CU7" s="217"/>
      <c r="CV7" s="217"/>
      <c r="CW7" s="217"/>
      <c r="CX7" s="217"/>
      <c r="CY7" s="217"/>
      <c r="CZ7" s="217"/>
      <c r="DA7" s="218" t="s">
        <v>16</v>
      </c>
      <c r="DB7" s="217"/>
      <c r="DC7" s="218" t="s">
        <v>16</v>
      </c>
      <c r="DD7" s="217"/>
      <c r="DE7" s="217"/>
      <c r="DF7" s="218" t="s">
        <v>16</v>
      </c>
      <c r="DG7" s="217"/>
      <c r="DH7" s="217"/>
      <c r="DI7" s="217"/>
      <c r="DJ7" s="217"/>
      <c r="DK7" s="218" t="s">
        <v>16</v>
      </c>
      <c r="DL7" s="217"/>
      <c r="DM7" s="217"/>
      <c r="DN7" s="217"/>
      <c r="DO7" s="217"/>
      <c r="DP7" s="218" t="s">
        <v>21</v>
      </c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8">
        <v>1</v>
      </c>
      <c r="EM7" s="220" t="s">
        <v>62</v>
      </c>
      <c r="EN7" s="218">
        <v>70</v>
      </c>
      <c r="EO7" s="218">
        <v>70</v>
      </c>
      <c r="EP7" s="218">
        <v>175</v>
      </c>
      <c r="EQ7" s="218">
        <v>221</v>
      </c>
      <c r="ER7" s="218">
        <v>100</v>
      </c>
      <c r="ES7" s="218" t="s">
        <v>16</v>
      </c>
      <c r="ET7" s="218"/>
      <c r="EU7" s="218"/>
      <c r="EV7" s="218"/>
      <c r="EW7" s="218"/>
      <c r="EX7" s="218"/>
      <c r="EY7" s="218"/>
      <c r="EZ7" s="218"/>
      <c r="FA7" s="218" t="s">
        <v>16</v>
      </c>
      <c r="FB7" s="217"/>
      <c r="FC7" s="217"/>
      <c r="FD7" s="217"/>
      <c r="FE7" s="217">
        <v>38249996</v>
      </c>
      <c r="FF7" s="217" t="s">
        <v>16</v>
      </c>
      <c r="FG7" s="217" t="s">
        <v>20</v>
      </c>
      <c r="FH7" s="217" t="s">
        <v>28</v>
      </c>
      <c r="FI7" s="217" t="s">
        <v>16</v>
      </c>
      <c r="FJ7" s="217">
        <v>25</v>
      </c>
      <c r="FK7" s="217" t="s">
        <v>52</v>
      </c>
      <c r="FL7" s="221">
        <v>0.19</v>
      </c>
      <c r="FM7" s="217" t="s">
        <v>30</v>
      </c>
      <c r="FN7" s="217" t="s">
        <v>65</v>
      </c>
      <c r="FO7" s="217" t="s">
        <v>66</v>
      </c>
      <c r="FP7" s="217" t="s">
        <v>67</v>
      </c>
      <c r="FQ7" s="217"/>
      <c r="FR7" s="217"/>
      <c r="FS7" s="217" t="s">
        <v>16</v>
      </c>
      <c r="FT7" s="217"/>
      <c r="FU7" s="217" t="s">
        <v>16</v>
      </c>
      <c r="FV7" s="217"/>
      <c r="FW7" s="217" t="s">
        <v>16</v>
      </c>
      <c r="FX7" s="217"/>
      <c r="FY7" s="222"/>
      <c r="FZ7" s="223"/>
      <c r="GD7" s="217" t="s">
        <v>21</v>
      </c>
    </row>
    <row r="8" spans="1:186" x14ac:dyDescent="0.3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8"/>
      <c r="GD8" s="112"/>
    </row>
    <row r="9" spans="1:186" x14ac:dyDescent="0.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8"/>
      <c r="GD9" s="112"/>
    </row>
    <row r="10" spans="1:186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8"/>
      <c r="GD10" s="112"/>
    </row>
    <row r="11" spans="1:186" x14ac:dyDescent="0.3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10"/>
      <c r="P11" s="107"/>
      <c r="Q11" s="107"/>
      <c r="R11" s="110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8"/>
      <c r="GD11" s="112"/>
    </row>
    <row r="12" spans="1:186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8"/>
      <c r="GD12" s="112"/>
    </row>
    <row r="13" spans="1:186" x14ac:dyDescent="0.3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8"/>
      <c r="GD13" s="112"/>
    </row>
    <row r="14" spans="1:186" x14ac:dyDescent="0.3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8"/>
      <c r="GD14" s="112"/>
    </row>
    <row r="15" spans="1:186" x14ac:dyDescent="0.3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8"/>
      <c r="GD15" s="112"/>
    </row>
    <row r="16" spans="1:186" x14ac:dyDescent="0.3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8"/>
      <c r="GD16" s="112"/>
    </row>
    <row r="17" spans="1:186" x14ac:dyDescent="0.3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8"/>
      <c r="GD17" s="112"/>
    </row>
    <row r="18" spans="1:186" x14ac:dyDescent="0.3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GD18" s="112"/>
    </row>
  </sheetData>
  <sheetProtection sheet="1" objects="1" scenarios="1" selectLockedCells="1"/>
  <mergeCells count="164">
    <mergeCell ref="GD2:GD3"/>
    <mergeCell ref="FX2:FX3"/>
    <mergeCell ref="FY2:FY3"/>
    <mergeCell ref="GA2:GA3"/>
    <mergeCell ref="GB2:GB3"/>
    <mergeCell ref="GC2:GC3"/>
    <mergeCell ref="BE2:BE3"/>
    <mergeCell ref="BF2:BF3"/>
    <mergeCell ref="BG2:BG3"/>
    <mergeCell ref="BH2:BH3"/>
    <mergeCell ref="BI2:BI3"/>
    <mergeCell ref="BJ2:BJ3"/>
    <mergeCell ref="BK2:BK3"/>
    <mergeCell ref="BL2:BL3"/>
    <mergeCell ref="BM2:BM3"/>
    <mergeCell ref="BS2:BS3"/>
    <mergeCell ref="BT2:BT3"/>
    <mergeCell ref="BU2:BU3"/>
    <mergeCell ref="BV2:BV3"/>
    <mergeCell ref="BW2:BW3"/>
    <mergeCell ref="BX2:BX3"/>
    <mergeCell ref="BN2:BN3"/>
    <mergeCell ref="BO2:BO3"/>
    <mergeCell ref="BP2:BP3"/>
    <mergeCell ref="BQ2:BQ3"/>
    <mergeCell ref="AV2:AV3"/>
    <mergeCell ref="AW2:AW3"/>
    <mergeCell ref="AX2:AX3"/>
    <mergeCell ref="AY2:AY3"/>
    <mergeCell ref="AZ2:AZ3"/>
    <mergeCell ref="BA2:BA3"/>
    <mergeCell ref="BB2:BB3"/>
    <mergeCell ref="BC2:BC3"/>
    <mergeCell ref="BD2:BD3"/>
    <mergeCell ref="U2:U3"/>
    <mergeCell ref="A2:A3"/>
    <mergeCell ref="B2:D2"/>
    <mergeCell ref="E2:E3"/>
    <mergeCell ref="F2:F3"/>
    <mergeCell ref="G2:G3"/>
    <mergeCell ref="H2:H3"/>
    <mergeCell ref="O2:O3"/>
    <mergeCell ref="P2:P3"/>
    <mergeCell ref="Q2:Q3"/>
    <mergeCell ref="R2:R3"/>
    <mergeCell ref="S2:S3"/>
    <mergeCell ref="T2:T3"/>
    <mergeCell ref="I2:I3"/>
    <mergeCell ref="J2:J3"/>
    <mergeCell ref="K2:K3"/>
    <mergeCell ref="L2:L3"/>
    <mergeCell ref="M2:M3"/>
    <mergeCell ref="N2:N3"/>
    <mergeCell ref="AA2:AA3"/>
    <mergeCell ref="AB2:AB3"/>
    <mergeCell ref="AC2:AC3"/>
    <mergeCell ref="AD2:AD3"/>
    <mergeCell ref="AE2:AE3"/>
    <mergeCell ref="AF2:AF3"/>
    <mergeCell ref="V2:V3"/>
    <mergeCell ref="W2:W3"/>
    <mergeCell ref="X2:X3"/>
    <mergeCell ref="Y2:Y3"/>
    <mergeCell ref="Z2:Z3"/>
    <mergeCell ref="AU2:AU3"/>
    <mergeCell ref="AO2:AO3"/>
    <mergeCell ref="AP2:AQ2"/>
    <mergeCell ref="AR2:AS2"/>
    <mergeCell ref="AT2:AT3"/>
    <mergeCell ref="AG2:AG3"/>
    <mergeCell ref="AH2:AH3"/>
    <mergeCell ref="AI2:AI3"/>
    <mergeCell ref="AJ2:AJ3"/>
    <mergeCell ref="AK2:AK3"/>
    <mergeCell ref="AL2:AL3"/>
    <mergeCell ref="AM2:AM3"/>
    <mergeCell ref="AN2:AN3"/>
    <mergeCell ref="BR2:BR3"/>
    <mergeCell ref="CE2:CE3"/>
    <mergeCell ref="CF2:CF3"/>
    <mergeCell ref="CG2:CG3"/>
    <mergeCell ref="CH2:CH3"/>
    <mergeCell ref="CI2:CI3"/>
    <mergeCell ref="CJ2:CJ3"/>
    <mergeCell ref="BY2:BY3"/>
    <mergeCell ref="BZ2:BZ3"/>
    <mergeCell ref="CA2:CA3"/>
    <mergeCell ref="CB2:CB3"/>
    <mergeCell ref="CC2:CC3"/>
    <mergeCell ref="CD2:CD3"/>
    <mergeCell ref="CQ2:CQ3"/>
    <mergeCell ref="CR2:CR3"/>
    <mergeCell ref="CS2:CS3"/>
    <mergeCell ref="CT2:CV2"/>
    <mergeCell ref="CW2:CW3"/>
    <mergeCell ref="CX2:CX3"/>
    <mergeCell ref="CK2:CK3"/>
    <mergeCell ref="CL2:CL3"/>
    <mergeCell ref="CM2:CM3"/>
    <mergeCell ref="CN2:CN3"/>
    <mergeCell ref="CO2:CO3"/>
    <mergeCell ref="CP2:CP3"/>
    <mergeCell ref="DH2:DH3"/>
    <mergeCell ref="DI2:DI3"/>
    <mergeCell ref="DJ2:DJ3"/>
    <mergeCell ref="DK2:DK3"/>
    <mergeCell ref="DL2:DL3"/>
    <mergeCell ref="DM2:DM3"/>
    <mergeCell ref="CY2:CY3"/>
    <mergeCell ref="CZ2:CZ3"/>
    <mergeCell ref="DB2:DB3"/>
    <mergeCell ref="DD2:DD3"/>
    <mergeCell ref="DE2:DE3"/>
    <mergeCell ref="DG2:DG3"/>
    <mergeCell ref="ED2:ED3"/>
    <mergeCell ref="EE2:EJ2"/>
    <mergeCell ref="EK2:EK3"/>
    <mergeCell ref="EL2:EL3"/>
    <mergeCell ref="EM2:EM3"/>
    <mergeCell ref="EN2:ER2"/>
    <mergeCell ref="DN2:DN3"/>
    <mergeCell ref="DO2:DO3"/>
    <mergeCell ref="DP2:DP3"/>
    <mergeCell ref="DQ2:DV2"/>
    <mergeCell ref="DW2:DW3"/>
    <mergeCell ref="DX2:EC2"/>
    <mergeCell ref="FQ2:FQ3"/>
    <mergeCell ref="FR2:FR3"/>
    <mergeCell ref="FC2:FC3"/>
    <mergeCell ref="FD2:FD3"/>
    <mergeCell ref="FE2:FE3"/>
    <mergeCell ref="FF2:FF3"/>
    <mergeCell ref="FG2:FG3"/>
    <mergeCell ref="FH2:FH3"/>
    <mergeCell ref="ES2:ES3"/>
    <mergeCell ref="ET2:ET3"/>
    <mergeCell ref="EU2:EU3"/>
    <mergeCell ref="EV2:EZ2"/>
    <mergeCell ref="FA2:FA3"/>
    <mergeCell ref="FB2:FB3"/>
    <mergeCell ref="FZ2:FZ3"/>
    <mergeCell ref="FN4:FR4"/>
    <mergeCell ref="AP4:AS4"/>
    <mergeCell ref="CT4:CV4"/>
    <mergeCell ref="DQ4:DV4"/>
    <mergeCell ref="DX4:EC4"/>
    <mergeCell ref="EE4:EJ4"/>
    <mergeCell ref="EN4:EP4"/>
    <mergeCell ref="EQ4:ER4"/>
    <mergeCell ref="EV4:EX4"/>
    <mergeCell ref="EY4:EZ4"/>
    <mergeCell ref="FU2:FU3"/>
    <mergeCell ref="FV2:FV3"/>
    <mergeCell ref="FW2:FW3"/>
    <mergeCell ref="FO2:FO3"/>
    <mergeCell ref="FP2:FP3"/>
    <mergeCell ref="FS2:FS3"/>
    <mergeCell ref="FT2:FT3"/>
    <mergeCell ref="FI2:FI3"/>
    <mergeCell ref="FJ2:FJ3"/>
    <mergeCell ref="FK2:FK3"/>
    <mergeCell ref="FL2:FL3"/>
    <mergeCell ref="FM2:FM3"/>
    <mergeCell ref="FN2:FN3"/>
  </mergeCells>
  <dataValidations count="25">
    <dataValidation type="whole" allowBlank="1" showInputMessage="1" showErrorMessage="1" errorTitle="Falsche Eingabe" error="Bitte tragen Sie eine Zahl ein" sqref="C1:C1048576" xr:uid="{0EF089B7-9FA3-4140-86A8-2A54951B0444}">
      <formula1>0</formula1>
      <formula2>9.99999999999999E+47</formula2>
    </dataValidation>
    <dataValidation type="date" allowBlank="1" showInputMessage="1" showErrorMessage="1" error="Bitte tragen Sie ein gültiges Datum ein." sqref="BT1:BT1048576" xr:uid="{24C098D6-AAA4-4BCB-A0AB-06BC4B784BAF}">
      <formula1>18264</formula1>
      <formula2>2958465</formula2>
    </dataValidation>
    <dataValidation type="list" allowBlank="1" showInputMessage="1" showErrorMessage="1" errorTitle="Falsche Eingabe" error="Bitte tragen Sie ein N (Neuanlage), ein A (Änderung) oder ein Z (nicht mehr lieferbar) ein." sqref="F1:F1048576" xr:uid="{CEC14274-1842-4B44-9F97-59E8D4F637AE}">
      <formula1>"N,A,Z"</formula1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1:J7" xr:uid="{63B27913-690F-435E-84E4-AD9B0121F743}">
      <formula1>"Beutel,Dose,Eimer,Flasche,Kanister,Karton,Muster,Packung,Rolle,Set,Spender,Spritze,Stück,Tube,Kit,Bundle,Box,Blister"</formula1>
    </dataValidation>
    <dataValidation type="list" allowBlank="1" showInputMessage="1" showErrorMessage="1" errorTitle="Falsche Eingabe" error="Bitte tragen Sie ein J oder N ein." sqref="K1:K1048576 CK1:CK1048576 CM1:CS1048576 CZ1:DA1048576 DC1:DG1048576 DK1:DK1048576 DP1:DP1048576 DW1:DW1048576 ED1:ED1048576 EK1:EK1048576 ES1:ET1048576 FA1:FA1048576 FF1:FF1048576 FI1:FI1048576 FS1:FS1048576 FU1:FU1048576 BS1:BS1048576 AJ1:AO1048576 U1:U1048576 BU1:BW1048576 BP1:BQ1048576 AU1:BN1048576 FX4:FX1048576 GC1 FW1:FW1048576 FX1" xr:uid="{61EE0C8C-E955-4523-8435-52B908933BED}">
      <formula1>"J,N"</formula1>
    </dataValidation>
    <dataValidation type="list" allowBlank="1" showInputMessage="1" showErrorMessage="1" errorTitle="Falsche Eingabe" error="Bitte tragen Sie N, i oder o ein." sqref="T1:T1048576" xr:uid="{E506D6A7-C7D9-4F27-AE19-6AC5DCF9F416}">
      <formula1>"N,i,o"</formula1>
    </dataValidation>
    <dataValidation type="list" allowBlank="1" showInputMessage="1" showErrorMessage="1" errorTitle="Falsche Eingabe" error="Bitte tragen Sie DENT, MED oder VET ein." sqref="AH1:AH1048576" xr:uid="{F6F2F364-8CD0-4A7B-AD4B-1EE975F84E2A}">
      <formula1>"DENT,MED,VET"</formula1>
    </dataValidation>
    <dataValidation type="list" allowBlank="1" showInputMessage="1" showErrorMessage="1" errorTitle="Falsche Eingabe" error="Bitte tragen Sie P, L oder B ein." sqref="AI1:AI1048576" xr:uid="{70D6E952-8004-4EA4-85C2-947A718D43C5}">
      <formula1>"P,L,B"</formula1>
    </dataValidation>
    <dataValidation type="whole" allowBlank="1" showInputMessage="1" showErrorMessage="1" errorTitle="Falsche Eingabe" error="Bitte geben Sie eine Zahl ein." sqref="AP1:AS1048576" xr:uid="{E217D0E4-7717-44F6-8E81-58DEF2E56018}">
      <formula1>-500</formula1>
      <formula2>500</formula2>
    </dataValidation>
    <dataValidation type="whole" allowBlank="1" showInputMessage="1" showErrorMessage="1" errorTitle="Falsche Eingabe" error="Bitte geben Sie eine Zahl ein." sqref="AT1:AT1048576 BX1:BX1048576" xr:uid="{3A5F292B-C4B3-44E8-87CD-68DD85110E7D}">
      <formula1>0</formula1>
      <formula2>9.99999999999999E+45</formula2>
    </dataValidation>
    <dataValidation type="list" allowBlank="1" showInputMessage="1" showErrorMessage="1" errorTitle="Falsche Eingabe" error="Bitte tragen Sie Fass, Kanister, Kiste, Sack, Kombinationsverpackung oder Feinstblechverpackung." sqref="CJ1:CJ1048576" xr:uid="{673CA36C-06FC-45DE-82D7-E286B9AACBAA}">
      <formula1>"Fass,Kanister,Kiste,Sack,Kombinationsverpackung,Feinstblechverpackung"</formula1>
    </dataValidation>
    <dataValidation type="whole" allowBlank="1" showInputMessage="1" showErrorMessage="1" errorTitle="Falsche Eingabe" error="Bitte tragen Sie eine Zahl ein." sqref="BZ1:CF1048576 CH1:CH1048576 CL1:CL1048576 DL1:DO1048576" xr:uid="{1C63F75C-AE7D-4A3A-BB17-30A4FD6D42BE}">
      <formula1>0</formula1>
      <formula2>9.99999999999999E+45</formula2>
    </dataValidation>
    <dataValidation type="whole" allowBlank="1" showInputMessage="1" showErrorMessage="1" errorTitle="Falsche Eingabe" error="Bitte tragen Sie eine Zahl ein." sqref="EL1:EL1048576 EN1:EP1048576 FC1:FE1048576 EU1:EX1048576" xr:uid="{D59B95F5-510C-43F2-8C9A-AB455BE3F3FF}">
      <formula1>0</formula1>
      <formula2>9.99999999999999E+46</formula2>
    </dataValidation>
    <dataValidation type="date" allowBlank="1" showInputMessage="1" showErrorMessage="1" errorTitle="Falsche Eingabe" error="Bitte tragen Sie ein gültiges Datum ein." sqref="L1:L1048576 H1:I1048576 E1:E1048576 GB1" xr:uid="{5684A11E-51CD-4C03-9582-E3E06B842E0B}">
      <formula1>18264</formula1>
      <formula2>2958465</formula2>
    </dataValidation>
    <dataValidation type="whole" allowBlank="1" showInputMessage="1" showErrorMessage="1" errorTitle="Falsche Eingabe" error="Bitte tragen Sie eine Zahl ein." sqref="CT1:CV1048576 CX1:CY1048576 DB1:DB1048576 DI1:DJ1048576 FJ1:FJ1048576" xr:uid="{95E9F91E-0041-40D7-A19B-0D944E551EA2}">
      <formula1>0</formula1>
      <formula2>9.99999999999999E+47</formula2>
    </dataValidation>
    <dataValidation type="decimal" allowBlank="1" showInputMessage="1" showErrorMessage="1" errorTitle="Falsche Eingabe" error="Bitte tragen Sie eine Zahl ein." sqref="CW1:CW1048576" xr:uid="{F1E7291F-D8BE-4BC2-9871-60358AA5B235}">
      <formula1>0</formula1>
      <formula2>9.99999999999999E+46</formula2>
    </dataValidation>
    <dataValidation type="list" allowBlank="1" showInputMessage="1" showErrorMessage="1" errorTitle="Falsche Eingabe" error="Bitte geben Sie LiIon, LiMetall, Blei, NiCa ein." sqref="DH1:DH1048576" xr:uid="{5E503D84-6189-4E8D-B4FF-88436450E939}">
      <formula1>"LiIon,LiMetall,Blei,NiCa"</formula1>
    </dataValidation>
    <dataValidation type="decimal" allowBlank="1" showInputMessage="1" showErrorMessage="1" errorTitle="Falsche Eingabe" error="Bitte tragen Sie eine Zahl ein." sqref="DQ1:DV1048576 DX1:EC1048576 EE1:EJ1048576 EQ1:ER1048576 EY1:EZ1048576" xr:uid="{DE04D459-7C9B-4560-B7A8-C9AADD2AC4D1}">
      <formula1>0</formula1>
      <formula2>9.99999999999999E+47</formula2>
    </dataValidation>
    <dataValidation type="list" allowBlank="1" showInputMessage="1" showErrorMessage="1" errorTitle="Falsche Eingabe" error="Bitte tragen Sie I, II oder III." sqref="FV1:FV1048576" xr:uid="{0BA92547-7D39-4856-96E2-31FA4C838F5A}">
      <formula1>"I,II,III"</formula1>
    </dataValidation>
    <dataValidation type="list" allowBlank="1" showInputMessage="1" showErrorMessage="1" errorTitle="Falsche Eingabe" error="Bitte tragen Sie MDD oder MDR ein." sqref="FY1:FY1048576 FZ6:FZ1048576" xr:uid="{ACEDE511-FA1F-46F6-B6B6-C2855A82D34B}">
      <formula1>"MDD,MDR"</formula1>
    </dataValidation>
    <dataValidation allowBlank="1" showInputMessage="1" showErrorMessage="1" errorTitle="Falsche Eingabe" error="Bitte tragen Sie eine Zahl ein." sqref="O1:O1048576 R1:R1048576 V1:AE1048576" xr:uid="{391B1A57-4623-4E67-BA0F-5B2A1AA4CDD8}"/>
    <dataValidation allowBlank="1" showInputMessage="1" showErrorMessage="1" errorTitle="Falsche Eingabe" error="Bitte tragen Sie ein J oder N ein." sqref="GD1:GD3 FX2:FX3" xr:uid="{FA88223A-DCD5-45D9-AD93-747D1B3EB2C2}"/>
    <dataValidation allowBlank="1" showInputMessage="1" showErrorMessage="1" errorTitle="Falsche Eingabe" error="Bitte tragen Sie I, II oder III." sqref="GD5" xr:uid="{ABB1AED4-80AA-4A54-846F-021849AB04AF}"/>
    <dataValidation type="list" allowBlank="1" showInputMessage="1" showErrorMessage="1" errorTitle="Falsche Eingabe" error="Bitte tragen Sie ein J oder N ein" sqref="GD6:GD1048576" xr:uid="{ED895856-8DFE-461A-BA69-A6A6D49F0817}">
      <formula1>"J,N"</formula1>
    </dataValidation>
    <dataValidation type="list" allowBlank="1" showInputMessage="1" showErrorMessage="1" sqref="J8:J1048576" xr:uid="{55D2401D-15CA-446F-A51F-17ABCBC673FC}">
      <formula1>"Beutel,Dose,Eimer,Flasche,Kanister,Karton,Muster,Packung,Rolle,Set,Spender,Spritze,Stück,Tube,Kit,Bundle,Box,Blister,Nachfüllpackung,Großpackung"</formula1>
    </dataValidation>
  </dataValidations>
  <hyperlinks>
    <hyperlink ref="D7" r:id="rId1" xr:uid="{9C188472-A5C1-48F3-9033-C171B309A3ED}"/>
  </hyperlinks>
  <pageMargins left="0.70866141732283472" right="0.70866141732283472" top="0.78740157480314965" bottom="0.78740157480314965" header="0.31496062992125984" footer="0.31496062992125984"/>
  <pageSetup paperSize="8" scale="90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D17"/>
  <sheetViews>
    <sheetView tabSelected="1" zoomScale="80" zoomScaleNormal="80" workbookViewId="0">
      <pane ySplit="5" topLeftCell="A6" activePane="bottomLeft" state="frozen"/>
      <selection activeCell="A2" sqref="A2"/>
      <selection pane="bottomLeft" activeCell="L8" sqref="L8"/>
    </sheetView>
  </sheetViews>
  <sheetFormatPr baseColWidth="10" defaultColWidth="11.44140625" defaultRowHeight="14.4" outlineLevelRow="1" x14ac:dyDescent="0.3"/>
  <cols>
    <col min="1" max="1" width="12.44140625" style="106" customWidth="1"/>
    <col min="2" max="4" width="9.44140625" style="106" customWidth="1"/>
    <col min="5" max="5" width="12.5546875" style="106" customWidth="1"/>
    <col min="6" max="6" width="21.44140625" style="106" customWidth="1"/>
    <col min="7" max="9" width="13.88671875" style="106" customWidth="1"/>
    <col min="10" max="10" width="19.109375" style="106" customWidth="1"/>
    <col min="11" max="11" width="19" style="106" customWidth="1"/>
    <col min="12" max="13" width="13.88671875" style="106" customWidth="1"/>
    <col min="14" max="18" width="11.5546875" style="106" customWidth="1"/>
    <col min="19" max="19" width="21.5546875" style="106" customWidth="1"/>
    <col min="20" max="20" width="8.5546875" style="106" customWidth="1"/>
    <col min="21" max="21" width="18.88671875" style="106" customWidth="1"/>
    <col min="22" max="29" width="13.88671875" style="106" customWidth="1"/>
    <col min="30" max="30" width="9.5546875" style="106" customWidth="1"/>
    <col min="31" max="31" width="13.88671875" style="106" customWidth="1"/>
    <col min="32" max="32" width="16.88671875" style="106" customWidth="1"/>
    <col min="33" max="33" width="13.88671875" style="106" customWidth="1"/>
    <col min="34" max="34" width="15.5546875" style="106" customWidth="1"/>
    <col min="35" max="35" width="8.5546875" style="106" customWidth="1" collapsed="1"/>
    <col min="36" max="36" width="8.5546875" style="106" customWidth="1"/>
    <col min="37" max="37" width="27.44140625" style="106" customWidth="1"/>
    <col min="38" max="38" width="13.88671875" style="106" customWidth="1"/>
    <col min="39" max="39" width="19" style="106" customWidth="1"/>
    <col min="40" max="40" width="13.88671875" style="106" customWidth="1"/>
    <col min="41" max="41" width="24" style="106" customWidth="1"/>
    <col min="42" max="45" width="10.109375" style="106" customWidth="1"/>
    <col min="46" max="47" width="13.88671875" style="106" customWidth="1"/>
    <col min="48" max="48" width="19" style="106" customWidth="1"/>
    <col min="49" max="59" width="13.88671875" style="106" customWidth="1"/>
    <col min="60" max="60" width="19" style="106" customWidth="1"/>
    <col min="61" max="63" width="13.88671875" style="106" customWidth="1"/>
    <col min="64" max="64" width="19" style="106" customWidth="1"/>
    <col min="65" max="65" width="13.88671875" style="106" customWidth="1"/>
    <col min="66" max="66" width="19" style="106" customWidth="1"/>
    <col min="67" max="67" width="13.88671875" style="106" customWidth="1"/>
    <col min="68" max="69" width="8.5546875" style="106" customWidth="1"/>
    <col min="70" max="70" width="11.44140625" style="106" customWidth="1"/>
    <col min="71" max="71" width="24" style="106" customWidth="1"/>
    <col min="72" max="73" width="13.88671875" style="106" customWidth="1"/>
    <col min="74" max="74" width="16.5546875" style="106" customWidth="1"/>
    <col min="75" max="77" width="13.88671875" style="106" customWidth="1"/>
    <col min="78" max="78" width="9.5546875" style="106" customWidth="1"/>
    <col min="79" max="81" width="13.88671875" style="106" customWidth="1"/>
    <col min="82" max="82" width="15" style="106" customWidth="1"/>
    <col min="83" max="91" width="13.88671875" style="106" customWidth="1"/>
    <col min="92" max="92" width="14.44140625" style="106" customWidth="1"/>
    <col min="93" max="93" width="18.5546875" style="106" customWidth="1" collapsed="1"/>
    <col min="94" max="96" width="13.88671875" style="106" customWidth="1"/>
    <col min="97" max="97" width="16.5546875" style="106" customWidth="1"/>
    <col min="98" max="98" width="13.88671875" style="106" customWidth="1"/>
    <col min="99" max="99" width="10.88671875" style="106" customWidth="1"/>
    <col min="100" max="101" width="13.88671875" style="106" customWidth="1"/>
    <col min="102" max="103" width="11.44140625" style="106" customWidth="1"/>
    <col min="104" max="104" width="13.88671875" style="106" customWidth="1"/>
    <col min="105" max="105" width="19" style="106" customWidth="1"/>
    <col min="106" max="106" width="13.88671875" style="106" customWidth="1"/>
    <col min="107" max="107" width="16.5546875" style="106" customWidth="1"/>
    <col min="108" max="108" width="10.5546875" style="106" customWidth="1"/>
    <col min="109" max="109" width="13.88671875" style="106" customWidth="1"/>
    <col min="110" max="110" width="16.5546875" style="106" customWidth="1"/>
    <col min="111" max="111" width="13.88671875" style="106" customWidth="1"/>
    <col min="112" max="113" width="9.5546875" style="106" customWidth="1"/>
    <col min="114" max="114" width="13.88671875" style="106" customWidth="1"/>
    <col min="115" max="115" width="19" style="106" customWidth="1"/>
    <col min="116" max="119" width="13.88671875" style="106" customWidth="1"/>
    <col min="120" max="120" width="29.88671875" style="106" customWidth="1"/>
    <col min="121" max="121" width="9.109375" style="106" customWidth="1"/>
    <col min="122" max="123" width="9.5546875" style="106" customWidth="1"/>
    <col min="124" max="124" width="7.109375" style="106" customWidth="1"/>
    <col min="125" max="126" width="9.5546875" style="106" customWidth="1"/>
    <col min="127" max="127" width="13.88671875" style="106" customWidth="1"/>
    <col min="128" max="130" width="9.5546875" style="106" customWidth="1"/>
    <col min="131" max="131" width="7.109375" style="106" customWidth="1"/>
    <col min="132" max="133" width="9.5546875" style="106" customWidth="1"/>
    <col min="134" max="134" width="13.88671875" style="106" customWidth="1"/>
    <col min="135" max="135" width="6.109375" style="106" customWidth="1"/>
    <col min="136" max="137" width="9.5546875" style="106" customWidth="1"/>
    <col min="138" max="138" width="7.109375" style="106" customWidth="1"/>
    <col min="139" max="140" width="9.5546875" style="106" customWidth="1"/>
    <col min="141" max="141" width="13.88671875" style="106" customWidth="1"/>
    <col min="142" max="142" width="10.88671875" style="106" customWidth="1"/>
    <col min="143" max="143" width="12.5546875" style="106" customWidth="1"/>
    <col min="144" max="148" width="10.88671875" style="106" customWidth="1"/>
    <col min="149" max="149" width="19" style="106" customWidth="1"/>
    <col min="150" max="151" width="13.88671875" style="106" customWidth="1"/>
    <col min="152" max="154" width="8.109375" style="106" customWidth="1"/>
    <col min="155" max="156" width="13.88671875" style="106" customWidth="1"/>
    <col min="157" max="157" width="16.5546875" style="106" customWidth="1"/>
    <col min="158" max="159" width="13.88671875" style="106" customWidth="1"/>
    <col min="160" max="160" width="9.5546875" style="106" customWidth="1"/>
    <col min="161" max="161" width="12.44140625" style="106" customWidth="1"/>
    <col min="162" max="166" width="8.5546875" style="106" customWidth="1"/>
    <col min="167" max="167" width="13.88671875" style="106" customWidth="1"/>
    <col min="168" max="168" width="8.5546875" style="106" customWidth="1" collapsed="1"/>
    <col min="169" max="169" width="33" style="106" customWidth="1"/>
    <col min="170" max="174" width="13.88671875" style="106" customWidth="1"/>
    <col min="175" max="175" width="13.44140625" style="106" customWidth="1"/>
    <col min="176" max="176" width="13.88671875" style="106" customWidth="1"/>
    <col min="177" max="177" width="19" style="106" customWidth="1"/>
    <col min="178" max="178" width="13.88671875" style="106" customWidth="1"/>
    <col min="179" max="180" width="19" style="106" customWidth="1"/>
    <col min="181" max="181" width="13.88671875" style="106" customWidth="1"/>
    <col min="182" max="182" width="14.44140625" style="106" customWidth="1"/>
    <col min="183" max="183" width="14.5546875" style="106" customWidth="1"/>
    <col min="184" max="184" width="18.44140625" style="106" customWidth="1"/>
    <col min="185" max="16384" width="11.44140625" style="106"/>
  </cols>
  <sheetData>
    <row r="1" spans="1:186" s="168" customFormat="1" ht="17.25" customHeight="1" x14ac:dyDescent="0.3">
      <c r="A1" s="167">
        <v>1</v>
      </c>
      <c r="B1" s="167">
        <v>2</v>
      </c>
      <c r="C1" s="167">
        <v>3</v>
      </c>
      <c r="D1" s="167">
        <v>4</v>
      </c>
      <c r="E1" s="167">
        <v>5</v>
      </c>
      <c r="F1" s="167">
        <v>6</v>
      </c>
      <c r="G1" s="167">
        <v>7</v>
      </c>
      <c r="H1" s="167">
        <v>8</v>
      </c>
      <c r="I1" s="167">
        <v>9</v>
      </c>
      <c r="J1" s="167">
        <v>10</v>
      </c>
      <c r="K1" s="167">
        <v>11</v>
      </c>
      <c r="L1" s="167">
        <v>12</v>
      </c>
      <c r="M1" s="167">
        <v>13</v>
      </c>
      <c r="N1" s="167">
        <v>14</v>
      </c>
      <c r="O1" s="167">
        <v>15</v>
      </c>
      <c r="P1" s="167">
        <v>16</v>
      </c>
      <c r="Q1" s="167">
        <v>17</v>
      </c>
      <c r="R1" s="167">
        <v>18</v>
      </c>
      <c r="S1" s="167">
        <v>19</v>
      </c>
      <c r="T1" s="167">
        <v>20</v>
      </c>
      <c r="U1" s="167">
        <v>21</v>
      </c>
      <c r="V1" s="167">
        <v>22</v>
      </c>
      <c r="W1" s="167">
        <v>23</v>
      </c>
      <c r="X1" s="167">
        <v>24</v>
      </c>
      <c r="Y1" s="167">
        <v>25</v>
      </c>
      <c r="Z1" s="167">
        <v>26</v>
      </c>
      <c r="AA1" s="167">
        <v>27</v>
      </c>
      <c r="AB1" s="167">
        <v>28</v>
      </c>
      <c r="AC1" s="167">
        <v>29</v>
      </c>
      <c r="AD1" s="167">
        <v>30</v>
      </c>
      <c r="AE1" s="167">
        <v>31</v>
      </c>
      <c r="AF1" s="167">
        <v>32</v>
      </c>
      <c r="AG1" s="167">
        <v>33</v>
      </c>
      <c r="AH1" s="167">
        <v>34</v>
      </c>
      <c r="AI1" s="167">
        <v>35</v>
      </c>
      <c r="AJ1" s="167">
        <v>36</v>
      </c>
      <c r="AK1" s="167">
        <v>37</v>
      </c>
      <c r="AL1" s="167">
        <v>38</v>
      </c>
      <c r="AM1" s="167">
        <v>39</v>
      </c>
      <c r="AN1" s="167">
        <v>40</v>
      </c>
      <c r="AO1" s="167">
        <v>41</v>
      </c>
      <c r="AP1" s="167">
        <v>42</v>
      </c>
      <c r="AQ1" s="167">
        <v>43</v>
      </c>
      <c r="AR1" s="167">
        <v>44</v>
      </c>
      <c r="AS1" s="167">
        <v>45</v>
      </c>
      <c r="AT1" s="167">
        <v>46</v>
      </c>
      <c r="AU1" s="167">
        <v>47</v>
      </c>
      <c r="AV1" s="167">
        <v>48</v>
      </c>
      <c r="AW1" s="167">
        <v>49</v>
      </c>
      <c r="AX1" s="167">
        <v>50</v>
      </c>
      <c r="AY1" s="167">
        <v>51</v>
      </c>
      <c r="AZ1" s="167">
        <v>52</v>
      </c>
      <c r="BA1" s="167">
        <v>53</v>
      </c>
      <c r="BB1" s="167">
        <v>54</v>
      </c>
      <c r="BC1" s="167">
        <v>55</v>
      </c>
      <c r="BD1" s="167">
        <v>56</v>
      </c>
      <c r="BE1" s="167">
        <v>57</v>
      </c>
      <c r="BF1" s="167">
        <v>58</v>
      </c>
      <c r="BG1" s="167">
        <v>59</v>
      </c>
      <c r="BH1" s="167">
        <v>60</v>
      </c>
      <c r="BI1" s="167">
        <v>61</v>
      </c>
      <c r="BJ1" s="167">
        <v>62</v>
      </c>
      <c r="BK1" s="167">
        <v>63</v>
      </c>
      <c r="BL1" s="167">
        <v>64</v>
      </c>
      <c r="BM1" s="167">
        <v>65</v>
      </c>
      <c r="BN1" s="167">
        <v>66</v>
      </c>
      <c r="BO1" s="167">
        <v>67</v>
      </c>
      <c r="BP1" s="167">
        <v>68</v>
      </c>
      <c r="BQ1" s="167">
        <v>69</v>
      </c>
      <c r="BR1" s="167">
        <v>70</v>
      </c>
      <c r="BS1" s="167">
        <v>71</v>
      </c>
      <c r="BT1" s="167">
        <v>72</v>
      </c>
      <c r="BU1" s="167">
        <v>73</v>
      </c>
      <c r="BV1" s="167">
        <v>74</v>
      </c>
      <c r="BW1" s="167">
        <v>75</v>
      </c>
      <c r="BX1" s="167">
        <v>76</v>
      </c>
      <c r="BY1" s="167">
        <v>77</v>
      </c>
      <c r="BZ1" s="167">
        <v>78</v>
      </c>
      <c r="CA1" s="167">
        <v>79</v>
      </c>
      <c r="CB1" s="167">
        <v>80</v>
      </c>
      <c r="CC1" s="167">
        <v>81</v>
      </c>
      <c r="CD1" s="167">
        <v>82</v>
      </c>
      <c r="CE1" s="167">
        <v>83</v>
      </c>
      <c r="CF1" s="167">
        <v>84</v>
      </c>
      <c r="CG1" s="167">
        <v>85</v>
      </c>
      <c r="CH1" s="167">
        <v>86</v>
      </c>
      <c r="CI1" s="167">
        <v>87</v>
      </c>
      <c r="CJ1" s="167">
        <v>88</v>
      </c>
      <c r="CK1" s="167">
        <v>89</v>
      </c>
      <c r="CL1" s="167">
        <v>90</v>
      </c>
      <c r="CM1" s="167">
        <v>91</v>
      </c>
      <c r="CN1" s="167">
        <v>92</v>
      </c>
      <c r="CO1" s="167">
        <v>93</v>
      </c>
      <c r="CP1" s="167">
        <v>94</v>
      </c>
      <c r="CQ1" s="167">
        <v>95</v>
      </c>
      <c r="CR1" s="167">
        <v>96</v>
      </c>
      <c r="CS1" s="167">
        <v>97</v>
      </c>
      <c r="CT1" s="167">
        <v>98</v>
      </c>
      <c r="CU1" s="167">
        <v>99</v>
      </c>
      <c r="CV1" s="167">
        <v>100</v>
      </c>
      <c r="CW1" s="167">
        <v>101</v>
      </c>
      <c r="CX1" s="167">
        <v>102</v>
      </c>
      <c r="CY1" s="167">
        <v>103</v>
      </c>
      <c r="CZ1" s="167">
        <v>104</v>
      </c>
      <c r="DA1" s="167">
        <v>105</v>
      </c>
      <c r="DB1" s="167">
        <v>106</v>
      </c>
      <c r="DC1" s="167">
        <v>107</v>
      </c>
      <c r="DD1" s="167">
        <v>108</v>
      </c>
      <c r="DE1" s="167">
        <v>109</v>
      </c>
      <c r="DF1" s="167">
        <v>110</v>
      </c>
      <c r="DG1" s="167">
        <v>111</v>
      </c>
      <c r="DH1" s="167">
        <v>112</v>
      </c>
      <c r="DI1" s="167">
        <v>113</v>
      </c>
      <c r="DJ1" s="167">
        <v>114</v>
      </c>
      <c r="DK1" s="167">
        <v>115</v>
      </c>
      <c r="DL1" s="167">
        <v>116</v>
      </c>
      <c r="DM1" s="167">
        <v>117</v>
      </c>
      <c r="DN1" s="167">
        <v>118</v>
      </c>
      <c r="DO1" s="167">
        <v>119</v>
      </c>
      <c r="DP1" s="167">
        <v>120</v>
      </c>
      <c r="DQ1" s="167">
        <v>121</v>
      </c>
      <c r="DR1" s="167">
        <v>122</v>
      </c>
      <c r="DS1" s="167">
        <v>123</v>
      </c>
      <c r="DT1" s="167">
        <v>124</v>
      </c>
      <c r="DU1" s="167">
        <v>125</v>
      </c>
      <c r="DV1" s="167">
        <v>126</v>
      </c>
      <c r="DW1" s="167">
        <v>127</v>
      </c>
      <c r="DX1" s="167">
        <v>128</v>
      </c>
      <c r="DY1" s="167">
        <v>129</v>
      </c>
      <c r="DZ1" s="167">
        <v>130</v>
      </c>
      <c r="EA1" s="167">
        <v>131</v>
      </c>
      <c r="EB1" s="167">
        <v>132</v>
      </c>
      <c r="EC1" s="167">
        <v>133</v>
      </c>
      <c r="ED1" s="167">
        <v>134</v>
      </c>
      <c r="EE1" s="167">
        <v>135</v>
      </c>
      <c r="EF1" s="167">
        <v>136</v>
      </c>
      <c r="EG1" s="167">
        <v>137</v>
      </c>
      <c r="EH1" s="167">
        <v>138</v>
      </c>
      <c r="EI1" s="167">
        <v>139</v>
      </c>
      <c r="EJ1" s="167">
        <v>140</v>
      </c>
      <c r="EK1" s="167">
        <v>141</v>
      </c>
      <c r="EL1" s="167">
        <v>142</v>
      </c>
      <c r="EM1" s="167">
        <v>143</v>
      </c>
      <c r="EN1" s="167">
        <v>144</v>
      </c>
      <c r="EO1" s="167">
        <v>145</v>
      </c>
      <c r="EP1" s="167">
        <v>146</v>
      </c>
      <c r="EQ1" s="167">
        <v>147</v>
      </c>
      <c r="ER1" s="167">
        <v>148</v>
      </c>
      <c r="ES1" s="167">
        <v>149</v>
      </c>
      <c r="ET1" s="167">
        <v>150</v>
      </c>
      <c r="EU1" s="167">
        <v>151</v>
      </c>
      <c r="EV1" s="167">
        <v>152</v>
      </c>
      <c r="EW1" s="167">
        <v>153</v>
      </c>
      <c r="EX1" s="167">
        <v>154</v>
      </c>
      <c r="EY1" s="167">
        <v>155</v>
      </c>
      <c r="EZ1" s="167">
        <v>156</v>
      </c>
      <c r="FA1" s="167">
        <v>157</v>
      </c>
      <c r="FB1" s="167">
        <v>158</v>
      </c>
      <c r="FC1" s="167">
        <v>159</v>
      </c>
      <c r="FD1" s="167">
        <v>160</v>
      </c>
      <c r="FE1" s="167">
        <v>161</v>
      </c>
      <c r="FF1" s="167">
        <v>162</v>
      </c>
      <c r="FG1" s="167">
        <v>163</v>
      </c>
      <c r="FH1" s="167">
        <v>164</v>
      </c>
      <c r="FI1" s="167">
        <v>165</v>
      </c>
      <c r="FJ1" s="167">
        <v>166</v>
      </c>
      <c r="FK1" s="167">
        <v>167</v>
      </c>
      <c r="FL1" s="167">
        <v>168</v>
      </c>
      <c r="FM1" s="167">
        <v>169</v>
      </c>
      <c r="FN1" s="167">
        <v>170</v>
      </c>
      <c r="FO1" s="167">
        <v>171</v>
      </c>
      <c r="FP1" s="167">
        <v>172</v>
      </c>
      <c r="FQ1" s="167">
        <v>173</v>
      </c>
      <c r="FR1" s="167">
        <v>174</v>
      </c>
      <c r="FS1" s="167">
        <v>175</v>
      </c>
      <c r="FT1" s="167">
        <v>176</v>
      </c>
      <c r="FU1" s="167">
        <v>177</v>
      </c>
      <c r="FV1" s="167">
        <v>178</v>
      </c>
      <c r="FW1" s="167">
        <v>179</v>
      </c>
      <c r="FX1" s="167">
        <v>180</v>
      </c>
      <c r="FY1" s="167">
        <v>181</v>
      </c>
      <c r="FZ1" s="168">
        <v>182</v>
      </c>
      <c r="GA1" s="168">
        <v>183</v>
      </c>
      <c r="GB1" s="168">
        <v>184</v>
      </c>
      <c r="GC1" s="168">
        <v>185</v>
      </c>
      <c r="GD1" s="168">
        <v>186</v>
      </c>
    </row>
    <row r="2" spans="1:186" s="189" customFormat="1" ht="103.5" customHeight="1" x14ac:dyDescent="0.3">
      <c r="A2" s="169" t="str">
        <f>VLOOKUP(Start!$H$20,Header_Data!$A3:$GZ32,2,FALSE)</f>
        <v>1. Steuerzeichen, neuer Artikel beginnt</v>
      </c>
      <c r="B2" s="170" t="str">
        <f>VLOOKUP(Start!$H$20,Header_Data!$A3:$GZ32,3,FALSE)</f>
        <v>2. Ansprechpartner</v>
      </c>
      <c r="C2" s="171"/>
      <c r="D2" s="171"/>
      <c r="E2" s="170" t="str">
        <f>VLOOKUP(Start!$H$20,Header_Data!$A3:$GZ32,6,FALSE)</f>
        <v>3. Datum der Gültigkeit des Artikeldatensatzes</v>
      </c>
      <c r="F2" s="170" t="str">
        <f>VLOOKUP(Start!$H$20,Header_Data!$A3:$GZ32,7,FALSE)</f>
        <v>4. Status</v>
      </c>
      <c r="G2" s="169" t="str">
        <f>VLOOKUP(Start!$H$20,Header_Data!$A3:$GZ32,8,FALSE)</f>
        <v xml:space="preserve">4.1. Exakte Lieferanten-Artikelnummer des Vorgängerartikels </v>
      </c>
      <c r="H2" s="169" t="str">
        <f>VLOOKUP(Start!$H$20,Header_Data!$A3:$GZ32,9,FALSE)</f>
        <v>4.2. Artikelveröffentlichung zugelassen ab</v>
      </c>
      <c r="I2" s="169" t="str">
        <f>VLOOKUP(Start!$H$20,Header_Data!$A3:$GZ32,10,FALSE)</f>
        <v>4.3. Artikel lieferbar ab</v>
      </c>
      <c r="J2" s="169" t="str">
        <f>VLOOKUP(Start!$H$20,Header_Data!$A3:$GZ32,11,FALSE)</f>
        <v>4.4. Verpackungsart des Artikels?</v>
      </c>
      <c r="K2" s="170" t="str">
        <f>VLOOKUP(Start!$H$20,Header_Data!$A3:$GZ32,12,FALSE)</f>
        <v>5. Auslaufartikel</v>
      </c>
      <c r="L2" s="169" t="str">
        <f>VLOOKUP(Start!$H$20,Header_Data!$A3:$GZ32,13,FALSE)</f>
        <v>5.1. Auslaufartikel lieferbar bis</v>
      </c>
      <c r="M2" s="169" t="str">
        <f>VLOOKUP(Start!$H$20,Header_Data!$A3:$GZ32,14,FALSE)</f>
        <v>5.2. Exakte Lieferanten-Artikelnummer des Alternativartikels</v>
      </c>
      <c r="N2" s="170" t="str">
        <f>VLOOKUP(Start!$H$20,Header_Data!$A3:$GZ32,15,FALSE)</f>
        <v>6. Lieferantenname</v>
      </c>
      <c r="O2" s="170" t="str">
        <f>VLOOKUP(Start!$H$20,Header_Data!$A3:$GZ32,16,FALSE)</f>
        <v>7. Exakte Lieferanten-Artikelnummer</v>
      </c>
      <c r="P2" s="170" t="str">
        <f>VLOOKUP(Start!$H$20,Header_Data!$A3:$GZ32,17,FALSE)</f>
        <v>8. Exakte Artikelbezeichnung</v>
      </c>
      <c r="Q2" s="170" t="str">
        <f>VLOOKUP(Start!$H$20,Header_Data!$A3:$GZ32,18,FALSE)</f>
        <v>9. Herstellername</v>
      </c>
      <c r="R2" s="170" t="str">
        <f>VLOOKUP(Start!$H$20,Header_Data!$A3:$GZ32,19,FALSE)</f>
        <v>10. Exakte Hersteller-Artikelnummer</v>
      </c>
      <c r="S2" s="170" t="str">
        <f>VLOOKUP(Start!$H$20,Header_Data!$A3:$GZ32,20,FALSE)</f>
        <v>11. Produktzulassung zum Vertrieb gemäß den einschlägigen gesetzlichen oder behördlichen Bestimmungen besteht für folgende Länder:</v>
      </c>
      <c r="T2" s="170" t="str">
        <f>VLOOKUP(Start!$H$20,Header_Data!$A3:$GZ32,21,FALSE)</f>
        <v>12. CE-Kennzeichnung auf dem Produkt vorhanden [innen (i), außen (o)]?</v>
      </c>
      <c r="U2" s="170" t="str">
        <f>VLOOKUP(Start!$H$20,Header_Data!$A3:$GZ32,22,FALSE)</f>
        <v>13. Hat das Produkt einen Barcode/UDI-DI?</v>
      </c>
      <c r="V2" s="169" t="str">
        <f>VLOOKUP(Start!$H$20,Header_Data!$A3:$GZ32,23,FALSE)</f>
        <v>13.1.1. GTIN / EAN - kleinste Verkaufseinheit
(Global Trade Item Number / European Article Number)</v>
      </c>
      <c r="W2" s="169" t="str">
        <f>VLOOKUP(Start!$H$20,Header_Data!$A3:$GZ32,24,FALSE)</f>
        <v>13.1.2. GTIN / EAN - Pack
(Global Trade Item Number / European Article Number)</v>
      </c>
      <c r="X2" s="169" t="str">
        <f>VLOOKUP(Start!$H$20,Header_Data!$A3:$GZ32,25,FALSE)</f>
        <v>13.1.3. GTIN / EAN - Karton
(Global Trade Item Number / European Article Number)</v>
      </c>
      <c r="Y2" s="169" t="str">
        <f>VLOOKUP(Start!$H$20,Header_Data!$A3:$GZ32,26,FALSE)</f>
        <v>13.1.4. GTIN / EAN - Palette
(Global Trade Item Number / European Article Number)</v>
      </c>
      <c r="Z2" s="169" t="str">
        <f>VLOOKUP(Start!$H$20,Header_Data!$A3:$GZ32,27,FALSE)</f>
        <v>13.2.1 HIBC - Kleinste Verkaufseinheit
(Health Industry Bar Code)</v>
      </c>
      <c r="AA2" s="169" t="str">
        <f>VLOOKUP(Start!$H$20,Header_Data!$A3:$GZ32,28,FALSE)</f>
        <v>13.2.2 HIBC - Pack
(Health Industry Bar Code)</v>
      </c>
      <c r="AB2" s="169" t="str">
        <f>VLOOKUP(Start!$H$20,Header_Data!$A3:$GZ32,29,FALSE)</f>
        <v>13.2.3 HIBC - Karton
(Health Industry Bar Code)</v>
      </c>
      <c r="AC2" s="169" t="str">
        <f>VLOOKUP(Start!$H$20,Header_Data!$A3:$GZ32,30,FALSE)</f>
        <v>13.2.4 HIBC - Palette
(Health Industry Bar Code)</v>
      </c>
      <c r="AD2" s="169" t="str">
        <f>VLOOKUP(Start!$H$20,Header_Data!$A3:$GZ32,31,FALSE)</f>
        <v>13.3. PPN (Pharmacy Product Number)</v>
      </c>
      <c r="AE2" s="169" t="str">
        <f>VLOOKUP(Start!$H$20,Header_Data!$A3:$GZ32,32,FALSE)</f>
        <v>13.4. PZN DE (Pharmazentralnummer)</v>
      </c>
      <c r="AF2" s="170" t="str">
        <f>VLOOKUP(Start!$H$20,Header_Data!$A3:$GZ32,33,FALSE)</f>
        <v>14. eCl@ss-Code</v>
      </c>
      <c r="AG2" s="169" t="str">
        <f>VLOOKUP(Start!$H$20,Header_Data!$A3:$GZ32,34,FALSE)</f>
        <v>14.1. eCl@ss-Version</v>
      </c>
      <c r="AH2" s="170" t="str">
        <f>VLOOKUP(Start!$H$20,Header_Data!$A3:$GZ32,35,FALSE)</f>
        <v>15. In welchem Medizinbereich erfolgt die Anwendung des Artikels?</v>
      </c>
      <c r="AI2" s="170" t="str">
        <f>VLOOKUP(Start!$H$20,Header_Data!$A3:$GZ32,36,FALSE)</f>
        <v>16. Einsatzort des Produktes</v>
      </c>
      <c r="AJ2" s="170" t="str">
        <f>VLOOKUP(Start!$H$20,Header_Data!$A3:$GZ32,37,FALSE)</f>
        <v>17. Ist Artikel ein Steril-Produkt?</v>
      </c>
      <c r="AK2" s="170" t="str">
        <f>VLOOKUP(Start!$H$20,Header_Data!$A3:$GZ32,38,FALSE)</f>
        <v>18. Etikett/Produktverpackung ist sprachneutral
(nur Eigenname und Piktogramme angedruckt)</v>
      </c>
      <c r="AL2" s="169" t="str">
        <f>VLOOKUP(Start!$H$20,Header_Data!$A3:$GZ32,39,FALSE)</f>
        <v>18.1. Folgende Sprachen werden auf dem Etikett/Produktverpackung verwendet</v>
      </c>
      <c r="AM2" s="170" t="str">
        <f>VLOOKUP(Start!$H$20,Header_Data!$A3:$GZ32,40,FALSE)</f>
        <v>19. Wird eine Gebrauchsanweisung benötigt?</v>
      </c>
      <c r="AN2" s="169" t="str">
        <f>VLOOKUP(Start!$H$20,Header_Data!$A3:$GZ32,41,FALSE)</f>
        <v>19.1. Folgende Sprachen sind in der Gebrauchsanweisung enthalten:</v>
      </c>
      <c r="AO2" s="170" t="str">
        <f>VLOOKUP(Start!$H$20,Header_Data!$A3:$GZ32,42,FALSE)</f>
        <v>20. Hat der Artikel hat eine Beschränkung in den Lager- und Transporttemperaturen?</v>
      </c>
      <c r="AP2" s="172" t="str">
        <f>VLOOKUP(Start!$H$20,Header_Data!$A3:$GZ32,43,FALSE)</f>
        <v>20.1. Lagertemperatur</v>
      </c>
      <c r="AQ2" s="173"/>
      <c r="AR2" s="172" t="str">
        <f>VLOOKUP(Start!$H$20,Header_Data!$A3:$GZ32,45,FALSE)</f>
        <v>20.2. Transporttemperatur</v>
      </c>
      <c r="AS2" s="173"/>
      <c r="AT2" s="169" t="str">
        <f>VLOOKUP(Start!$H$20,Header_Data!$A3:$GZ32,47,FALSE)</f>
        <v>20.3. Maximal zulässige Dauer der Transporttemperatur</v>
      </c>
      <c r="AU2" s="169" t="str">
        <f>VLOOKUP(Start!$H$20,Header_Data!$A3:$GZ32,48,FALSE)</f>
        <v>20.4. Artikel ist frostempfindlich</v>
      </c>
      <c r="AV2" s="170" t="str">
        <f>VLOOKUP(Start!$H$20,Header_Data!$A3:$GZ32,49,FALSE)</f>
        <v>21. Ist der Artikel ein Arzneimittel?</v>
      </c>
      <c r="AW2" s="169" t="str">
        <f>VLOOKUP(Start!$H$20,Header_Data!$A3:$GZ32,50,FALSE)</f>
        <v xml:space="preserve">21.1. Artikel ist ein Betäubungsmittel? </v>
      </c>
      <c r="AX2" s="169" t="str">
        <f>VLOOKUP(Start!$H$20,Header_Data!$A3:$GZ32,51,FALSE)</f>
        <v>21.2. Artikel ist ein Fertigarzneimittel?</v>
      </c>
      <c r="AY2" s="169" t="str">
        <f>VLOOKUP(Start!$H$20,Header_Data!$A3:$GZ32,52,FALSE)</f>
        <v>21.3. Artikel dient zum Ersatz oder zur Korrektur von Körperflüssigkeiten?</v>
      </c>
      <c r="AZ2" s="169" t="str">
        <f>VLOOKUP(Start!$H$20,Header_Data!$A3:$GZ32,53,FALSE)</f>
        <v>21.4. Artikel ist nur zur Anwendung in der Zahnheilkunde?</v>
      </c>
      <c r="BA2" s="169" t="str">
        <f>VLOOKUP(Start!$H$20,Header_Data!$A3:$GZ32,54,FALSE)</f>
        <v>21.5. Artikel ist apothekenpflichtig?</v>
      </c>
      <c r="BB2" s="169" t="str">
        <f>VLOOKUP(Start!$H$20,Header_Data!$A3:$GZ32,55,FALSE)</f>
        <v>21.6. Artikel ist verschreibungs- pflichtig?</v>
      </c>
      <c r="BC2" s="169" t="str">
        <f>VLOOKUP(Start!$H$20,Header_Data!$A3:$GZ32,56,FALSE)</f>
        <v>21.7. Artikel ist freiverkäuflich?</v>
      </c>
      <c r="BD2" s="169" t="str">
        <f>VLOOKUP(Start!$H$20,Header_Data!$A3:$GZ32,57,FALSE)</f>
        <v>21.8. Produkt unterliegt dem GKV-WSG vom 01.04.2007?
(Gesetz zur Stärkung des Wettbewerbs in der gesetzlichen Krankenversicherung)</v>
      </c>
      <c r="BE2" s="169" t="str">
        <f>VLOOKUP(Start!$H$20,Header_Data!$A3:$GZ32,58,FALSE)</f>
        <v>21.9. Vertrieb nur an Personen mit humanmedizinischer Grundausbildung?</v>
      </c>
      <c r="BF2" s="169" t="str">
        <f>VLOOKUP(Start!$H$20,Header_Data!$A3:$GZ32,59,FALSE)</f>
        <v>21.10. Arzneimittel ist für folgende Länder zugelassen:</v>
      </c>
      <c r="BG2" s="169" t="str">
        <f>VLOOKUP(Start!$H$20,Header_Data!$A3:$GZ32,60,FALSE)</f>
        <v xml:space="preserve">21.11. Zulassungsnummer des Arzneimittels </v>
      </c>
      <c r="BH2" s="170" t="str">
        <f>VLOOKUP(Start!$H$20,Header_Data!$A3:$GZ32,61,FALSE)</f>
        <v>22. Artikel ist ein Medizinprodukt?</v>
      </c>
      <c r="BI2" s="169" t="str">
        <f>VLOOKUP(Start!$H$20,Header_Data!$A3:$GZ32,62,FALSE)</f>
        <v xml:space="preserve">22.1. Klasse des Medizinproduktes </v>
      </c>
      <c r="BJ2" s="169" t="str">
        <f>VLOOKUP(Start!$H$20,Header_Data!$A3:$GZ32,63,FALSE)</f>
        <v>22.2. Produkt fällt unter die MPAV?
(Medizinprodukte-Abgabeverordnung)</v>
      </c>
      <c r="BK2" s="169" t="str">
        <f>VLOOKUP(Start!$H$20,Header_Data!$A3:$GZ32,64,FALSE)</f>
        <v>22.3. Produkt ist Verbrauchsmaterial als Sprechstundenbedarf? 
(nur Fluoridierungsprodukte)</v>
      </c>
      <c r="BL2" s="170" t="str">
        <f>VLOOKUP(Start!$H$20,Header_Data!$A3:$GZ32,65,FALSE)</f>
        <v>23. Artikel ist ein Ersatzteil?</v>
      </c>
      <c r="BM2" s="169" t="str">
        <f>VLOOKUP(Start!$H$20,Header_Data!$A3:$GZ32,66,FALSE)</f>
        <v xml:space="preserve">23.1. Rücksendepflichtiger Reparatur-Austausch ? </v>
      </c>
      <c r="BN2" s="170" t="str">
        <f>VLOOKUP(Start!$H$20,Header_Data!$A3:$GZ32,67,FALSE)</f>
        <v>24. Artikel ist ein Biozid?</v>
      </c>
      <c r="BO2" s="169" t="str">
        <f>VLOOKUP(Start!$H$20,Header_Data!$A3:$GZ32,68,FALSE)</f>
        <v>24.1 BAUA-Registriernummer
(Bundesanstalt für Arbeitsschutz und Arbeitsmedizin)</v>
      </c>
      <c r="BP2" s="170" t="str">
        <f>VLOOKUP(Start!$H$20,Header_Data!$A3:$GZ32,69,FALSE)</f>
        <v>25. Artikel ist ein Lebensmittel?</v>
      </c>
      <c r="BQ2" s="170" t="str">
        <f>VLOOKUP(Start!$H$20,Header_Data!$A3:$GZ32,70,FALSE)</f>
        <v>26. Artikel ist ein Kosmetikprodukt?</v>
      </c>
      <c r="BR2" s="170" t="str">
        <f>VLOOKUP(Start!$H$20,Header_Data!$A3:$GZ32,71,FALSE)</f>
        <v>27. VOC-Gehalt angeben
(Flüchtige Organische Verbindungen)</v>
      </c>
      <c r="BS2" s="170" t="str">
        <f>VLOOKUP(Start!$H$20,Header_Data!$A3:$GZ32,72,FALSE)</f>
        <v>28. Sicherheitsdatenblatt (SDB) vorhanden?</v>
      </c>
      <c r="BT2" s="169" t="str">
        <f>VLOOKUP(Start!$H$20,Header_Data!$A3:$GZ32,73,FALSE)</f>
        <v xml:space="preserve">28.1. Aktuelles Überarbeitungsdatum des Sicherheitsdatenblattes </v>
      </c>
      <c r="BU2" s="169" t="str">
        <f>VLOOKUP(Start!$H$20,Header_Data!$A3:$GZ32,74,FALSE)</f>
        <v>28.2. Artikel fällt unter die Chemikalien- Verbotsverordnung (ChemVerbotsV)?</v>
      </c>
      <c r="BV2" s="170" t="str">
        <f>VLOOKUP(Start!$H$20,Header_Data!$A3:$GZ32,75,FALSE)</f>
        <v xml:space="preserve">29. Artikel ist ein Gefahrgut? </v>
      </c>
      <c r="BW2" s="169" t="str">
        <f>VLOOKUP(Start!$H$20,Header_Data!$A3:$GZ32,76,FALSE)</f>
        <v>29.1. Artikel fällt unter Limited Quantity (LQ, Begrenzte Menge)</v>
      </c>
      <c r="BX2" s="169" t="str">
        <f>VLOOKUP(Start!$H$20,Header_Data!$A3:$GZ32,77,FALSE)</f>
        <v>29.2. Gefahrgutklasse nach ADR</v>
      </c>
      <c r="BY2" s="169" t="str">
        <f>VLOOKUP(Start!$H$20,Header_Data!$A3:$GZ32,78,FALSE)</f>
        <v>29.3. Benennung und Beschreibung lt. ADR-Tabelle</v>
      </c>
      <c r="BZ2" s="169" t="str">
        <f>VLOOKUP(Start!$H$20,Header_Data!$A3:$GZ32,79,FALSE)</f>
        <v xml:space="preserve">29.4. UN-Nummer </v>
      </c>
      <c r="CA2" s="169" t="str">
        <f>VLOOKUP(Start!$H$20,Header_Data!$A3:$GZ32,80,FALSE)</f>
        <v>29.5. Nummer zur Kennzeichnung der Gefahr</v>
      </c>
      <c r="CB2" s="169" t="str">
        <f>VLOOKUP(Start!$H$20,Header_Data!$A3:$GZ32,81,FALSE)</f>
        <v>29.6. Beförderungs- kategorie</v>
      </c>
      <c r="CC2" s="169" t="str">
        <f>VLOOKUP(Start!$H$20,Header_Data!$A3:$GZ32,82,FALSE)</f>
        <v>29.7. Verpackungs- gruppe</v>
      </c>
      <c r="CD2" s="169" t="str">
        <f>VLOOKUP(Start!$H$20,Header_Data!$A3:$GZ32,83,FALSE)</f>
        <v>29.8. Abfallschlüssel (für Produkt)</v>
      </c>
      <c r="CE2" s="169" t="str">
        <f>VLOOKUP(Start!$H$20,Header_Data!$A3:$GZ32,84,FALSE)</f>
        <v>29.9. Lagerklasse</v>
      </c>
      <c r="CF2" s="169" t="str">
        <f>VLOOKUP(Start!$H$20,Header_Data!$A3:$GZ32,85,FALSE)</f>
        <v>29.10. Klassifizierungscode</v>
      </c>
      <c r="CG2" s="169" t="str">
        <f>VLOOKUP(Start!$H$20,Header_Data!$A3:$GZ32,86,FALSE)</f>
        <v>29.11. Tunnelbeschränkungs- code</v>
      </c>
      <c r="CH2" s="169" t="str">
        <f>VLOOKUP(Start!$H$20,Header_Data!$A3:$GZ32,87,FALSE)</f>
        <v>29.12. Gefahrzettel</v>
      </c>
      <c r="CI2" s="169" t="str">
        <f>VLOOKUP(Start!$H$20,Header_Data!$A3:$GZ32,88,FALSE)</f>
        <v>29.13. Inhalt pro Innenverpackung</v>
      </c>
      <c r="CJ2" s="169" t="str">
        <f>VLOOKUP(Start!$H$20,Header_Data!$A3:$GZ32,89,FALSE)</f>
        <v>29.14. Verpackungsart</v>
      </c>
      <c r="CK2" s="169" t="str">
        <f>VLOOKUP(Start!$H$20,Header_Data!$A3:$GZ32,90,FALSE)</f>
        <v>29.15. Umwelt- gefährdung</v>
      </c>
      <c r="CL2" s="169" t="str">
        <f>VLOOKUP(Start!$H$20,Header_Data!$A3:$GZ32,91,FALSE)</f>
        <v>29.16. Wassergefährdungsklasse (WGK) in DE</v>
      </c>
      <c r="CM2" s="169" t="str">
        <f>VLOOKUP(Start!$H$20,Header_Data!$A3:$GZ32,92,FALSE)</f>
        <v>29.17. Produkt enthält per- oder teilfluorierte Kohlenwasserstoffe (FKW und HFKW)</v>
      </c>
      <c r="CN2" s="170" t="str">
        <f>VLOOKUP(Start!$H$20,Header_Data!$A3:$GZ32,93,FALSE)</f>
        <v>30. Verpackung hat eine von außen deutlich erkennbare Chargenkennzeichnung/LOT?</v>
      </c>
      <c r="CO2" s="170" t="str">
        <f>VLOOKUP(Start!$H$20,Header_Data!$A3:$GZ32,94,FALSE)</f>
        <v>31. Artikel hat eine Verfallszeit?</v>
      </c>
      <c r="CP2" s="169" t="str">
        <f>VLOOKUP(Start!$H$20,Header_Data!$A3:$GZ32,95,FALSE)</f>
        <v>31.1. Verpackung hat ein von außen deutlich erkennbares Verfalldatum?</v>
      </c>
      <c r="CQ2" s="169" t="str">
        <f>VLOOKUP(Start!$H$20,Header_Data!$A3:$GZ32,96,FALSE)</f>
        <v>31.2. Verwendungszeit nach Anbruch auf der Verpackung angedruckt?</v>
      </c>
      <c r="CR2" s="169" t="str">
        <f>VLOOKUP(Start!$H$20,Header_Data!$A3:$GZ32,97,FALSE)</f>
        <v>31.3. Verpackung hat ein von außen deutlich erkennbares Herstelldatum?</v>
      </c>
      <c r="CS2" s="170" t="str">
        <f>VLOOKUP(Start!$H$20,Header_Data!$A3:$GZ32,98,FALSE)</f>
        <v>32. Artikel ist ein Gerät?</v>
      </c>
      <c r="CT2" s="174" t="str">
        <f>VLOOKUP(Start!$H$20,Header_Data!$A3:$GZ32,99,FALSE)</f>
        <v>32.1. Exakte Maße des Gerätes (ohne Umverpackung)</v>
      </c>
      <c r="CU2" s="175"/>
      <c r="CV2" s="176"/>
      <c r="CW2" s="169" t="str">
        <f>VLOOKUP(Start!$H$20,Header_Data!$A3:$GZ32,102,FALSE)</f>
        <v>32.2. Fassungsvermögen des Gerätes?</v>
      </c>
      <c r="CX2" s="169" t="str">
        <f>VLOOKUP(Start!$H$20,Header_Data!$A3:$GZ32,103,FALSE)</f>
        <v>32.3. Anwendungs-temperatur?</v>
      </c>
      <c r="CY2" s="169" t="str">
        <f>VLOOKUP(Start!$H$20,Header_Data!$A3:$GZ32,104,FALSE)</f>
        <v>32.4. Leistung?</v>
      </c>
      <c r="CZ2" s="169" t="str">
        <f>VLOOKUP(Start!$H$20,Header_Data!$A3:$GZ32,105,FALSE)</f>
        <v>32.5. Techniker ist zur Installation notwendig?</v>
      </c>
      <c r="DA2" s="177"/>
      <c r="DB2" s="169" t="str">
        <f>VLOOKUP(Start!$H$20,Header_Data!$A3:$GZ32,107,FALSE)</f>
        <v>32.6.1. Anzahl der angedruckten Serialnummern
(Z. B. in einem Set)?</v>
      </c>
      <c r="DC2" s="177" t="s">
        <v>38</v>
      </c>
      <c r="DD2" s="169" t="str">
        <f>VLOOKUP(Start!$H$20,Header_Data!$A3:$GZ32,109,FALSE)</f>
        <v>32.7.1. Artikel ist in Europa nach ElektroG (WEEE) registriert?</v>
      </c>
      <c r="DE2" s="169" t="str">
        <f>VLOOKUP(Start!$H$20,Header_Data!$A3:$GZ32,110,FALSE)</f>
        <v>32.7.2. Artikel ist registrierungspflichtig nach ElektroG (WEEE)?</v>
      </c>
      <c r="DF2" s="177"/>
      <c r="DG2" s="169" t="str">
        <f>VLOOKUP(Start!$H$20,Header_Data!$A3:$GZ32,112,FALSE)</f>
        <v>32.8.1. Artikel ist in Deutschland nach dem BattG registriert?</v>
      </c>
      <c r="DH2" s="169" t="str">
        <f>VLOOKUP(Start!$H$20,Header_Data!$A3:$GZ32,113,FALSE)</f>
        <v>32.8.2. Batterie-/Akkutyp:</v>
      </c>
      <c r="DI2" s="169" t="str">
        <f>VLOOKUP(Start!$H$20,Header_Data!$A3:$GZ32,114,FALSE)</f>
        <v>32.8.3. Anzahl der Batterien/ Akkus:</v>
      </c>
      <c r="DJ2" s="169" t="str">
        <f>VLOOKUP(Start!$H$20,Header_Data!$A3:$GZ32,115,FALSE)</f>
        <v>32.8.4. Batterien/ Akkus sind fest verbaut?</v>
      </c>
      <c r="DK2" s="170" t="str">
        <f>VLOOKUP(Start!$H$20,Header_Data!$A3:$GZ32,116,FALSE)</f>
        <v>33. Artikel hat Garantie oder Gewährleistung?</v>
      </c>
      <c r="DL2" s="169" t="str">
        <f>VLOOKUP(Start!$H$20,Header_Data!$A3:$GZ32,117,FALSE)</f>
        <v>33.1. Gewährleistungsdauer nach Lieferung an Handel:</v>
      </c>
      <c r="DM2" s="169" t="str">
        <f>VLOOKUP(Start!$H$20,Header_Data!$A3:$GZ32,118,FALSE)</f>
        <v>33.2. Gewährleistungsdauer nach Lieferung an unseren Kunden:</v>
      </c>
      <c r="DN2" s="169" t="str">
        <f>VLOOKUP(Start!$H$20,Header_Data!$A3:$GZ32,119,FALSE)</f>
        <v>33.3. Garantiedauer ab Lieferung an den Handel</v>
      </c>
      <c r="DO2" s="169" t="str">
        <f>VLOOKUP(Start!$H$20,Header_Data!$A3:$GZ32,120,FALSE)</f>
        <v>33.4. Garantiedauer nach Lieferung an unseren Kunden</v>
      </c>
      <c r="DP2" s="170" t="str">
        <f>VLOOKUP(Start!$H$20,Header_Data!$A3:$GZ32,121,FALSE)</f>
        <v>34. Verkaufsverpackung ist durch ein Duales System in Deutschland lizensiert?</v>
      </c>
      <c r="DQ2" s="178" t="str">
        <f>VLOOKUP(Start!$H$20,Header_Data!$A3:$GZ32,122,FALSE)</f>
        <v xml:space="preserve">34.1. Verpackungsgewicht der restentleerten Produktverpackung (Primärverpackung) </v>
      </c>
      <c r="DR2" s="179"/>
      <c r="DS2" s="179"/>
      <c r="DT2" s="179"/>
      <c r="DU2" s="179"/>
      <c r="DV2" s="180"/>
      <c r="DW2" s="169" t="str">
        <f>VLOOKUP(Start!$H$20,Header_Data!$A3:$GZ32,128,FALSE)</f>
        <v>34.2. restentleerte Produktverpackung darf über ein Duales System entsorgt werden?</v>
      </c>
      <c r="DX2" s="178" t="str">
        <f>VLOOKUP(Start!$H$20,Header_Data!$A3:$GZ32,129,FALSE)</f>
        <v>34.3. Verpackungsgewicht der Einzelverpackung (Sekundärverpackung)</v>
      </c>
      <c r="DY2" s="179"/>
      <c r="DZ2" s="179"/>
      <c r="EA2" s="179"/>
      <c r="EB2" s="179"/>
      <c r="EC2" s="180"/>
      <c r="ED2" s="169" t="str">
        <f>VLOOKUP(Start!$H$20,Header_Data!$A3:$GZ32,135,FALSE)</f>
        <v>34.4. Einzelverpackung darf über ein Duales System entsorgt werden?</v>
      </c>
      <c r="EE2" s="178" t="str">
        <f>VLOOKUP(Start!$H$20,Header_Data!$A3:$GZ32,136,FALSE)</f>
        <v xml:space="preserve">34.5. Verpackungsgewicht der Groß-/Bulkverpackung inkl. Füllmaterial (Tertiärverpackung) </v>
      </c>
      <c r="EF2" s="179"/>
      <c r="EG2" s="179"/>
      <c r="EH2" s="179"/>
      <c r="EI2" s="179"/>
      <c r="EJ2" s="180"/>
      <c r="EK2" s="169" t="str">
        <f>VLOOKUP(Start!$H$20,Header_Data!$A3:$GZ32,142,FALSE)</f>
        <v>34.6. Groß-/Bulkverpackung darf über ein Duales System entsorgt werden ?</v>
      </c>
      <c r="EL2" s="170" t="str">
        <f>VLOOKUP(Start!$H$20,Header_Data!$A3:$GZ32,143,FALSE)</f>
        <v>35. Mindest-bestellmenge</v>
      </c>
      <c r="EM2" s="170" t="str">
        <f>VLOOKUP(Start!$H$20,Header_Data!$A3:$GZ32,144,FALSE)</f>
        <v>36. Inhalt pro Einzelverpackung</v>
      </c>
      <c r="EN2" s="181" t="str">
        <f>VLOOKUP(Start!$H$20,Header_Data!$A3:$GZ32,145,FALSE)</f>
        <v>37. Größe und Gewicht der Einzelverpackung</v>
      </c>
      <c r="EO2" s="182"/>
      <c r="EP2" s="182"/>
      <c r="EQ2" s="182"/>
      <c r="ER2" s="183"/>
      <c r="ES2" s="170" t="str">
        <f>VLOOKUP(Start!$H$20,Header_Data!$A3:$GZ32,150,FALSE)</f>
        <v>38. Artikel hat eine Umverpackung?</v>
      </c>
      <c r="ET2" s="169" t="str">
        <f>VLOOKUP(Start!$H$20,Header_Data!$A3:$GZ32,151,FALSE)</f>
        <v>38.1. Umverpackung darf geöffnet und der Artikel ohne diese versendet werden?</v>
      </c>
      <c r="EU2" s="184" t="str">
        <f>VLOOKUP(Start!$H$20,Header_Data!$A3:$GZ32,152,FALSE)</f>
        <v>38.2. Anzahl der Einzelpackungen pro Umverpackung</v>
      </c>
      <c r="EV2" s="185" t="str">
        <f>VLOOKUP(Start!$H$20,Header_Data!$A3:$GZ32,153,FALSE)</f>
        <v>38.3. Größe und Gewicht der Umverpackung inkl. der Einzelpackungen</v>
      </c>
      <c r="EW2" s="186"/>
      <c r="EX2" s="186"/>
      <c r="EY2" s="186"/>
      <c r="EZ2" s="187"/>
      <c r="FA2" s="170" t="str">
        <f>VLOOKUP(Start!$H$20,Header_Data!$A3:$GZ32,158,FALSE)</f>
        <v>39. Gibt es Konfektionierungs-hinweise zu beachten?</v>
      </c>
      <c r="FB2" s="184" t="str">
        <f>VLOOKUP(Start!$H$20,Header_Data!$A3:$GZ32,159,FALSE)</f>
        <v>39.1. Konfektionierungs-hinweise aufführen</v>
      </c>
      <c r="FC2" s="184" t="str">
        <f>VLOOKUP(Start!$H$20,Header_Data!$A3:$GZ32,160,FALSE)</f>
        <v>39.2. Anzahl Artikel pro Palette</v>
      </c>
      <c r="FD2" s="184" t="str">
        <f>VLOOKUP(Start!$H$20,Header_Data!$A3:$GZ32,161,FALSE)</f>
        <v>39.3. Palettenhöhe</v>
      </c>
      <c r="FE2" s="170" t="str">
        <f>VLOOKUP(Start!$H$20,Header_Data!$A3:$GZ32,162,FALSE)</f>
        <v>40. Zolltarif-Nr. / Warentarifnr.
(8-11-stellig)</v>
      </c>
      <c r="FF2" s="170" t="str">
        <f>VLOOKUP(Start!$H$20,Header_Data!$A3:$GZ32,163,FALSE)</f>
        <v>41. Dual-Use-Artikel?
(Nach EG-Dual-Use Verordnung)</v>
      </c>
      <c r="FG2" s="170" t="str">
        <f>VLOOKUP(Start!$H$20,Header_Data!$A3:$GZ32,164,FALSE)</f>
        <v>42. Ursprungsland</v>
      </c>
      <c r="FH2" s="170" t="str">
        <f>VLOOKUP(Start!$H$20,Header_Data!$A3:$GZ32,165,FALSE)</f>
        <v>43. Ursprungs-bundesland/-provinz (falls zutreffend)</v>
      </c>
      <c r="FI2" s="170" t="str">
        <f>VLOOKUP(Start!$H$20,Header_Data!$A3:$GZ32,166,FALSE)</f>
        <v>44. Artikel mit Präferenzursprungs-eigenschaft? (nur anwendbar innerhalb EU)</v>
      </c>
      <c r="FJ2" s="184" t="str">
        <f>VLOOKUP(Start!$H$20,Header_Data!$A3:$GZ32,167,FALSE)</f>
        <v>45. Unverbindliche Preisempfehlung</v>
      </c>
      <c r="FK2" s="184" t="str">
        <f>VLOOKUP(Start!$H$20,Header_Data!$A3:$GZ32,168,FALSE)</f>
        <v>45.1. Rabattgruppe (Zahn, Material, ...)</v>
      </c>
      <c r="FL2" s="170" t="str">
        <f>VLOOKUP(Start!$H$20,Header_Data!$A3:$GZ32,169,FALSE)</f>
        <v>46. Mehrwertsteuersatz für DE (voll oder verringert)</v>
      </c>
      <c r="FM2" s="170" t="str">
        <f>VLOOKUP(Start!$H$20,Header_Data!$A3:$GZ32,170,FALSE)</f>
        <v>47. Besonderheiten und sonstige weitere Informationen zum Artikel aufführen bzw. anhängen</v>
      </c>
      <c r="FN2" s="188" t="str">
        <f>VLOOKUP(Start!$H$20,Header_Data!$A3:$GZ32,171,FALSE)</f>
        <v>47.1. Dateiname des Sicherheitsdatenblattes
(SD)</v>
      </c>
      <c r="FO2" s="188" t="str">
        <f>VLOOKUP(Start!$H$20,Header_Data!$A3:$GZ32,172,FALSE)</f>
        <v>47.2. Dateiname des Bildes 
(BD)</v>
      </c>
      <c r="FP2" s="188" t="str">
        <f>VLOOKUP(Start!$H$20,Header_Data!$A3:$GZ32,173,FALSE)</f>
        <v>47.3. Dateiname der Produktbeschreibung (PB) oder Stückliste (SL)</v>
      </c>
      <c r="FQ2" s="188" t="str">
        <f>VLOOKUP(Start!$H$20,Header_Data!$A3:$GZ32,174,FALSE)</f>
        <v>47.4. Dateiname der Arzneimittel-Fachinformation
(AF)</v>
      </c>
      <c r="FR2" s="188" t="str">
        <f>VLOOKUP(Start!$H$20,Header_Data!$A3:$GZ32,175,FALSE)</f>
        <v>47.5. Dateiname der Konformitätserklärung für Medizinprodukte 
(KM)</v>
      </c>
      <c r="FS2" s="170" t="str">
        <f>VLOOKUP(Start!$H$20,Header_Data!$A3:$GZ32,176,FALSE)</f>
        <v>48. Exklusivartikel</v>
      </c>
      <c r="FT2" s="184" t="str">
        <f>VLOOKUP(Start!$H$20,Header_Data!$A3:$GZ32,177,FALSE)</f>
        <v>48.1. Exklusivartikel 
(berechtigte Händler)</v>
      </c>
      <c r="FU2" s="170" t="str">
        <f>VLOOKUP(Start!$H$20,Header_Data!$A3:$GZ32,178,FALSE)</f>
        <v>49. Artikel unterliegt der Verordnung (EU) 2016/425 über Persönliche Schutzausrüstung?</v>
      </c>
      <c r="FV2" s="184" t="str">
        <f>VLOOKUP(Start!$H$20,Header_Data!$A3:$GZ32,179,FALSE)</f>
        <v xml:space="preserve">49.1. Kategorie der Persönlichen Schutzausrüstung </v>
      </c>
      <c r="FW2" s="170" t="str">
        <f>VLOOKUP(Start!$H$20,Header_Data!$A3:$GZ32,180,FALSE)</f>
        <v>50. Ist Artikel ein Set?</v>
      </c>
      <c r="FX2" s="184" t="s">
        <v>691</v>
      </c>
      <c r="FY2" s="184" t="str">
        <f>VLOOKUP(Start!$H$20,Header_Data!$A3:$GZ32,181,FALSE)</f>
        <v>22.4. MDR oder MDD Zulassung?</v>
      </c>
      <c r="FZ2" s="184" t="str">
        <f>VLOOKUP(Start!$H$20,Header_Data!$A3:$GZ32,182,FALSE)</f>
        <v>22.5. Basis UDI-DI</v>
      </c>
      <c r="GA2" s="184" t="str">
        <f>VLOOKUP(Start!$H$20,Header_Data!$A3:$GZ32,183,FALSE)</f>
        <v>22.6. benannte Stelle</v>
      </c>
      <c r="GB2" s="184" t="str">
        <f>VLOOKUP(Start!$H$20,Header_Data!$A3:$GZ32,184,FALSE)</f>
        <v>22.7. Gültigkeit der Konformitätserklärung bis…</v>
      </c>
      <c r="GC2" s="184" t="str">
        <f>VLOOKUP(Start!$H$20,Header_Data!$A3:$GZ32,185,FALSE)</f>
        <v>22.8 Einweisungspflichtig</v>
      </c>
      <c r="GD2" s="170" t="str">
        <f>VLOOKUP(Start!$H$20,Header_Data!$A3:$GZ32,186,FALSE)</f>
        <v>12.1. UKCA (CE-Kennzeichen für Großbritannien)</v>
      </c>
    </row>
    <row r="3" spans="1:186" s="189" customFormat="1" ht="86.1" customHeight="1" x14ac:dyDescent="0.3">
      <c r="A3" s="190"/>
      <c r="B3" s="191" t="str">
        <f>VLOOKUP(Start!$H$21,Header_Data!$A3:$GZ32,3,FALSE)</f>
        <v>2.1. Name</v>
      </c>
      <c r="C3" s="191" t="str">
        <f>VLOOKUP(Start!$H$21,Header_Data!$A3:$GZ32,4,FALSE)</f>
        <v>2.2. Telefonnummer</v>
      </c>
      <c r="D3" s="191" t="str">
        <f>VLOOKUP(Start!$H$21,Header_Data!$A3:$GZ32,5,FALSE)</f>
        <v>2.3. Email-Adresse</v>
      </c>
      <c r="E3" s="192"/>
      <c r="F3" s="192"/>
      <c r="G3" s="193"/>
      <c r="H3" s="193"/>
      <c r="I3" s="193"/>
      <c r="J3" s="193"/>
      <c r="K3" s="192"/>
      <c r="L3" s="193"/>
      <c r="M3" s="193"/>
      <c r="N3" s="192"/>
      <c r="O3" s="192"/>
      <c r="P3" s="192"/>
      <c r="Q3" s="192"/>
      <c r="R3" s="192"/>
      <c r="S3" s="192"/>
      <c r="T3" s="192"/>
      <c r="U3" s="192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2"/>
      <c r="AG3" s="193"/>
      <c r="AH3" s="192"/>
      <c r="AI3" s="192"/>
      <c r="AJ3" s="192"/>
      <c r="AK3" s="192"/>
      <c r="AL3" s="193"/>
      <c r="AM3" s="192"/>
      <c r="AN3" s="193"/>
      <c r="AO3" s="192"/>
      <c r="AP3" s="194" t="str">
        <f>VLOOKUP(Start!$H$21,Header_Data!$A3:$GZ32,43,FALSE)</f>
        <v xml:space="preserve">20.1.1.
Min. </v>
      </c>
      <c r="AQ3" s="194" t="str">
        <f>VLOOKUP(Start!$H$21,Header_Data!$A3:$GZ32,44,FALSE)</f>
        <v xml:space="preserve">20.1.2.
Max. </v>
      </c>
      <c r="AR3" s="194" t="str">
        <f>VLOOKUP(Start!$H$21,Header_Data!$A3:$GZ32,45,FALSE)</f>
        <v xml:space="preserve">20.2.1.
Min. </v>
      </c>
      <c r="AS3" s="194" t="str">
        <f>VLOOKUP(Start!$H$21,Header_Data!$A3:$GZ32,46,FALSE)</f>
        <v xml:space="preserve">20.2.2.
Max. </v>
      </c>
      <c r="AT3" s="193"/>
      <c r="AU3" s="193"/>
      <c r="AV3" s="192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2"/>
      <c r="BI3" s="193"/>
      <c r="BJ3" s="193"/>
      <c r="BK3" s="193"/>
      <c r="BL3" s="192"/>
      <c r="BM3" s="193"/>
      <c r="BN3" s="192"/>
      <c r="BO3" s="193"/>
      <c r="BP3" s="192"/>
      <c r="BQ3" s="192"/>
      <c r="BR3" s="192"/>
      <c r="BS3" s="192"/>
      <c r="BT3" s="193"/>
      <c r="BU3" s="193"/>
      <c r="BV3" s="192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2"/>
      <c r="CO3" s="192"/>
      <c r="CP3" s="193"/>
      <c r="CQ3" s="193"/>
      <c r="CR3" s="193"/>
      <c r="CS3" s="192"/>
      <c r="CT3" s="195" t="str">
        <f>VLOOKUP(Start!$H$21,Header_Data!$A3:$GZ32,99,FALSE)</f>
        <v>32.1.1. Länge</v>
      </c>
      <c r="CU3" s="195" t="str">
        <f>VLOOKUP(Start!$H$21,Header_Data!$A3:$GZ32,100,FALSE)</f>
        <v>32.1.2. Breite</v>
      </c>
      <c r="CV3" s="195" t="str">
        <f>VLOOKUP(Start!$H$21,Header_Data!$A3:$GZ32,100,FALSE)</f>
        <v>32.1.2. Breite</v>
      </c>
      <c r="CW3" s="193"/>
      <c r="CX3" s="193"/>
      <c r="CY3" s="193"/>
      <c r="CZ3" s="193"/>
      <c r="DA3" s="191" t="str">
        <f>VLOOKUP(Start!$H$21,Header_Data!$A3:$GZ32,106,FALSE)</f>
        <v>32.6. Geräteserialnummer vorhanden?</v>
      </c>
      <c r="DB3" s="193"/>
      <c r="DC3" s="191" t="str">
        <f>VLOOKUP(Start!$H$21,Header_Data!$A3:$GZ32,108,FALSE)</f>
        <v xml:space="preserve">32.7. Ist der Artikel strombetrieben? </v>
      </c>
      <c r="DD3" s="193"/>
      <c r="DE3" s="193"/>
      <c r="DF3" s="191" t="str">
        <f>VLOOKUP(Start!$H$21,Header_Data!$A3:$GZ32,111,FALSE)</f>
        <v>32.8. Artikel enthält Batterien/Akkus?</v>
      </c>
      <c r="DG3" s="193"/>
      <c r="DH3" s="193"/>
      <c r="DI3" s="193"/>
      <c r="DJ3" s="193"/>
      <c r="DK3" s="192"/>
      <c r="DL3" s="193"/>
      <c r="DM3" s="193"/>
      <c r="DN3" s="193"/>
      <c r="DO3" s="193"/>
      <c r="DP3" s="192"/>
      <c r="DQ3" s="196" t="str">
        <f>VLOOKUP(Start!$H$21,Header_Data!$A3:$GZ32,122,FALSE)</f>
        <v>34.1.1. Kunststoff</v>
      </c>
      <c r="DR3" s="196" t="str">
        <f>VLOOKUP(Start!$H$21,Header_Data!$A3:$GZ32,123,FALSE)</f>
        <v>34.1.2. PPK</v>
      </c>
      <c r="DS3" s="196" t="str">
        <f>VLOOKUP(Start!$H$21,Header_Data!$A3:$GZ32,124,FALSE)</f>
        <v>34.1.3. Sonstige Verbunde</v>
      </c>
      <c r="DT3" s="196" t="str">
        <f>VLOOKUP(Start!$H$21,Header_Data!$A3:$GZ32,125,FALSE)</f>
        <v>34.1.4. Glas</v>
      </c>
      <c r="DU3" s="196" t="str">
        <f>VLOOKUP(Start!$H$21,Header_Data!$A3:$GZ32,126,FALSE)</f>
        <v>34.1.5. Aluminium</v>
      </c>
      <c r="DV3" s="196" t="str">
        <f>VLOOKUP(Start!$H$21,Header_Data!$A3:$GZ32,127,FALSE)</f>
        <v>34.1.6. Eisenmetalle</v>
      </c>
      <c r="DW3" s="193"/>
      <c r="DX3" s="196" t="str">
        <f>VLOOKUP(Start!$H$21,Header_Data!$A3:$GZ32,129,FALSE)</f>
        <v>34.3.1. Kunststoff</v>
      </c>
      <c r="DY3" s="196" t="str">
        <f>VLOOKUP(Start!$H$21,Header_Data!$A3:$GZ32,130,FALSE)</f>
        <v>34.3.2. PPK</v>
      </c>
      <c r="DZ3" s="196" t="str">
        <f>VLOOKUP(Start!$H$21,Header_Data!$A3:$GZ32,131,FALSE)</f>
        <v>34.3.3. Sonstige Verbunde</v>
      </c>
      <c r="EA3" s="196" t="str">
        <f>VLOOKUP(Start!$H$21,Header_Data!$A3:$GZ32,132,FALSE)</f>
        <v>34.3.4. Glas</v>
      </c>
      <c r="EB3" s="196" t="str">
        <f>VLOOKUP(Start!$H$21,Header_Data!$A3:$GZ32,133,FALSE)</f>
        <v>34.3.5. Aluminium</v>
      </c>
      <c r="EC3" s="196" t="str">
        <f>VLOOKUP(Start!$H$21,Header_Data!$A3:$GZ32,134,FALSE)</f>
        <v>34.3.6. Eisenmetalle</v>
      </c>
      <c r="ED3" s="193"/>
      <c r="EE3" s="196" t="str">
        <f>VLOOKUP(Start!$H$21,Header_Data!$A3:$GZ32,136,FALSE)</f>
        <v>34.5.1. Kunststoff</v>
      </c>
      <c r="EF3" s="196" t="str">
        <f>VLOOKUP(Start!$H$21,Header_Data!$A3:$GZ32,137,FALSE)</f>
        <v>34.5.2. PPK</v>
      </c>
      <c r="EG3" s="196" t="str">
        <f>VLOOKUP(Start!$H$21,Header_Data!$A3:$GZ32,138,FALSE)</f>
        <v>34.5.3. Sonstige Verbunde</v>
      </c>
      <c r="EH3" s="196" t="str">
        <f>VLOOKUP(Start!$H$21,Header_Data!$A3:$GZ32,139,FALSE)</f>
        <v>34.5.4. Glas</v>
      </c>
      <c r="EI3" s="196" t="str">
        <f>VLOOKUP(Start!$H$21,Header_Data!$A3:$GZ32,140,FALSE)</f>
        <v>34.5.5. Aluminium</v>
      </c>
      <c r="EJ3" s="196" t="str">
        <f>VLOOKUP(Start!$H$21,Header_Data!$A3:$GZ32,141,FALSE)</f>
        <v>34.5.6. Eisenmetalle</v>
      </c>
      <c r="EK3" s="193"/>
      <c r="EL3" s="192"/>
      <c r="EM3" s="192"/>
      <c r="EN3" s="191" t="str">
        <f>VLOOKUP(Start!$H$21,Header_Data!$A3:$GZ32,145,FALSE)</f>
        <v xml:space="preserve">37.1. Länge </v>
      </c>
      <c r="EO3" s="191" t="str">
        <f>VLOOKUP(Start!$H$21,Header_Data!$A3:$GZ32,146,FALSE)</f>
        <v xml:space="preserve">37.2. Breite </v>
      </c>
      <c r="EP3" s="191" t="str">
        <f>VLOOKUP(Start!$H$21,Header_Data!$A3:$GZ32,147,FALSE)</f>
        <v>37.3. Höhe</v>
      </c>
      <c r="EQ3" s="191" t="str">
        <f>VLOOKUP(Start!$H$21,Header_Data!$A3:$GZ32,148,FALSE)</f>
        <v xml:space="preserve">37.4. Bruttogewicht </v>
      </c>
      <c r="ER3" s="191" t="str">
        <f>VLOOKUP(Start!$H$21,Header_Data!$A3:$GZ32,149,FALSE)</f>
        <v xml:space="preserve">37.5. Nettogewicht </v>
      </c>
      <c r="ES3" s="192"/>
      <c r="ET3" s="193"/>
      <c r="EU3" s="197"/>
      <c r="EV3" s="198" t="str">
        <f>VLOOKUP(Start!$H$21,Header_Data!$A3:$GZ32,153,FALSE)</f>
        <v>38.3.1. Länge</v>
      </c>
      <c r="EW3" s="198" t="str">
        <f>VLOOKUP(Start!$H$21,Header_Data!$A3:$GZ32,154,FALSE)</f>
        <v>38.3.2. Breite</v>
      </c>
      <c r="EX3" s="198" t="str">
        <f>VLOOKUP(Start!$H$21,Header_Data!$A3:$GZ32,155,FALSE)</f>
        <v>38.3.3. Höhe</v>
      </c>
      <c r="EY3" s="198" t="str">
        <f>VLOOKUP(Start!$H$21,Header_Data!$A3:$GZ32,156,FALSE)</f>
        <v xml:space="preserve">38.3.4. Bruttogewicht </v>
      </c>
      <c r="EZ3" s="198" t="str">
        <f>VLOOKUP(Start!$H$21,Header_Data!$A3:$GZ32,157,FALSE)</f>
        <v xml:space="preserve">38.3.5. Nettogewicht </v>
      </c>
      <c r="FA3" s="192"/>
      <c r="FB3" s="197"/>
      <c r="FC3" s="197"/>
      <c r="FD3" s="197"/>
      <c r="FE3" s="192"/>
      <c r="FF3" s="192"/>
      <c r="FG3" s="192"/>
      <c r="FH3" s="192"/>
      <c r="FI3" s="192"/>
      <c r="FJ3" s="197"/>
      <c r="FK3" s="197"/>
      <c r="FL3" s="192"/>
      <c r="FM3" s="192"/>
      <c r="FN3" s="199"/>
      <c r="FO3" s="199"/>
      <c r="FP3" s="199"/>
      <c r="FQ3" s="199"/>
      <c r="FR3" s="199"/>
      <c r="FS3" s="192"/>
      <c r="FT3" s="197"/>
      <c r="FU3" s="192"/>
      <c r="FV3" s="197"/>
      <c r="FW3" s="192"/>
      <c r="FX3" s="197"/>
      <c r="FY3" s="197"/>
      <c r="FZ3" s="197"/>
      <c r="GA3" s="197"/>
      <c r="GB3" s="197"/>
      <c r="GC3" s="197"/>
      <c r="GD3" s="192"/>
    </row>
    <row r="4" spans="1:186" s="205" customFormat="1" ht="102" customHeight="1" outlineLevel="1" x14ac:dyDescent="0.3">
      <c r="A4" s="200" t="str">
        <f>VLOOKUP(Start!$H$22,Header_Data!$A3:$GZ32,2,FALSE)</f>
        <v>!Y</v>
      </c>
      <c r="B4" s="201" t="str">
        <f>VLOOKUP(Start!$H$22,Header_Data!$A3:$GZ32,3,FALSE)</f>
        <v>Textfeld</v>
      </c>
      <c r="C4" s="201" t="str">
        <f>VLOOKUP(Start!$H$22,Header_Data!$A3:$GZ32,4,FALSE)</f>
        <v>Textfeld</v>
      </c>
      <c r="D4" s="201" t="str">
        <f>VLOOKUP(Start!$H$22,Header_Data!$A3:$GZ32,5,FALSE)</f>
        <v>Textfeld</v>
      </c>
      <c r="E4" s="201" t="str">
        <f>VLOOKUP(Start!$H$22,Header_Data!$A3:$GZ32,6,FALSE)</f>
        <v>Datum (tt.mm.jjjj)</v>
      </c>
      <c r="F4" s="201" t="str">
        <f>VLOOKUP(Start!$H$22,Header_Data!$A3:$GZ32,7,FALSE)</f>
        <v xml:space="preserve">N=Neuanlage 
A=Änderung 
Z=nicht mehr lieferbar </v>
      </c>
      <c r="G4" s="201" t="str">
        <f>VLOOKUP(Start!$H$22,Header_Data!$A3:$GZ32,8,FALSE)</f>
        <v>alphanumerisch</v>
      </c>
      <c r="H4" s="201" t="str">
        <f>VLOOKUP(Start!$H$22,Header_Data!$A3:$GZ32,9,FALSE)</f>
        <v>Datum (tt.mm.jjjj)</v>
      </c>
      <c r="I4" s="201" t="str">
        <f>VLOOKUP(Start!$H$22,Header_Data!$A3:$GZ32,10,FALSE)</f>
        <v>Datum (tt.mm.jjjj)</v>
      </c>
      <c r="J4" s="201" t="str">
        <f>VLOOKUP(Start!$H$22,Header_Data!$A3:$GZ32,11,FALSE)</f>
        <v>Beutel, Dose, Eimer, Flasche, Kanister, Karton, Muster, Packung, Rolle, Set, Spender, Spritze, Stück, Tube, Nachfüllpackung, Großpackung …</v>
      </c>
      <c r="K4" s="201" t="str">
        <f>VLOOKUP(Start!$H$22,Header_Data!$A3:$GZ32,12,FALSE)</f>
        <v>(J/N)</v>
      </c>
      <c r="L4" s="201" t="str">
        <f>VLOOKUP(Start!$H$22,Header_Data!$A3:$GZ32,13,FALSE)</f>
        <v>Datum (tt.mm.jjjj)</v>
      </c>
      <c r="M4" s="201" t="str">
        <f>VLOOKUP(Start!$H$22,Header_Data!$A3:$GZ32,14,FALSE)</f>
        <v>alphanumerisch</v>
      </c>
      <c r="N4" s="201" t="str">
        <f>VLOOKUP(Start!$H$22,Header_Data!$A3:$GZ32,15,FALSE)</f>
        <v>Textfeld</v>
      </c>
      <c r="O4" s="201" t="str">
        <f>VLOOKUP(Start!$H$22,Header_Data!$A3:$GZ32,16,FALSE)</f>
        <v>alphanumerisch
Wenn Hersteller = Lieferant, dann exakte Hersteller-Artikelnummer angeben.</v>
      </c>
      <c r="P4" s="201" t="str">
        <f>VLOOKUP(Start!$H$22,Header_Data!$A3:$GZ32,17,FALSE)</f>
        <v>Textfeld 
Ausführliche Produktbeschreibung bitte als gesonderte Datei beilegen, sofern vorhanden. Exakte Artikelbezeichnung in mehreren Sprachen bitte durch vorangestellten Ländercode nach ISO 3166 definieren und durch "/" voneinander trennen
Bsp: DE_exakte Artikelbezeichnung/GB_exakte Artikelbezeichnung</v>
      </c>
      <c r="Q4" s="201" t="str">
        <f>VLOOKUP(Start!$H$22,Header_Data!$A3:$GZ32,18,FALSE)</f>
        <v>Textfeld
Bitte ausfüllen, wenn Lieferant und Hersteller nicht identisch sind.</v>
      </c>
      <c r="R4" s="201" t="str">
        <f>VLOOKUP(Start!$H$22,Header_Data!$A3:$GZ32,19,FALSE)</f>
        <v>Textfeld
Bitte ausfüllen, wenn Lieferant und Hersteller nicht identisch sind.</v>
      </c>
      <c r="S4" s="201" t="str">
        <f>VLOOKUP(Start!$H$22,Header_Data!$A3:$GZ32,20,FALSE)</f>
        <v>Länder bitte durch Ländercodes nach ISO 3166 angeben und durch / voneinander trennen.</v>
      </c>
      <c r="T4" s="201" t="str">
        <f>VLOOKUP(Start!$H$22,Header_Data!$A3:$GZ32,21,FALSE)</f>
        <v>(N/i/o</v>
      </c>
      <c r="U4" s="201" t="str">
        <f>VLOOKUP(Start!$H$22,Header_Data!$A3:$GZ32,22,FALSE)</f>
        <v>(J/N)</v>
      </c>
      <c r="V4" s="201" t="str">
        <f>VLOOKUP(Start!$H$22,Header_Data!$A3:$GZ32,23,FALSE)</f>
        <v>numerisch</v>
      </c>
      <c r="W4" s="201" t="str">
        <f>VLOOKUP(Start!$H$22,Header_Data!$A3:$GZ32,24,FALSE)</f>
        <v>numerisch</v>
      </c>
      <c r="X4" s="201" t="str">
        <f>VLOOKUP(Start!$H$22,Header_Data!$A3:$GZ32,25,FALSE)</f>
        <v>numerisch</v>
      </c>
      <c r="Y4" s="201" t="str">
        <f>VLOOKUP(Start!$H$22,Header_Data!$A3:$GZ32,26,FALSE)</f>
        <v>numerisch</v>
      </c>
      <c r="Z4" s="201" t="str">
        <f>VLOOKUP(Start!$H$22,Header_Data!$A3:$GZ32,27,FALSE)</f>
        <v>alphanumerisch</v>
      </c>
      <c r="AA4" s="201" t="str">
        <f>VLOOKUP(Start!$H$22,Header_Data!$A3:$GZ32,28,FALSE)</f>
        <v>alphanumerisch</v>
      </c>
      <c r="AB4" s="201" t="str">
        <f>VLOOKUP(Start!$H$22,Header_Data!$A3:$GZ32,29,FALSE)</f>
        <v>alphanumerisch</v>
      </c>
      <c r="AC4" s="201" t="str">
        <f>VLOOKUP(Start!$H$22,Header_Data!$A3:$GZ32,30,FALSE)</f>
        <v>alphanumerisch</v>
      </c>
      <c r="AD4" s="201" t="str">
        <f>VLOOKUP(Start!$H$22,Header_Data!$A3:$GZ32,31,FALSE)</f>
        <v>numerisch</v>
      </c>
      <c r="AE4" s="201" t="str">
        <f>VLOOKUP(Start!$H$22,Header_Data!$A3:$GZ32,32,FALSE)</f>
        <v>numerisch</v>
      </c>
      <c r="AF4" s="201" t="str">
        <f>VLOOKUP(Start!$H$22,Header_Data!$A3:$GZ32,33,FALSE)</f>
        <v>(numerisch / N)</v>
      </c>
      <c r="AG4" s="201" t="str">
        <f>VLOOKUP(Start!$H$22,Header_Data!$A3:$GZ32,34,FALSE)</f>
        <v>alphanumerisch</v>
      </c>
      <c r="AH4" s="201" t="str">
        <f>VLOOKUP(Start!$H$22,Header_Data!$A3:$GZ32,35,FALSE)</f>
        <v>Dental = DENT
Humanmedizin = MED
Veterinär = VET
durch / voneinander trennen</v>
      </c>
      <c r="AI4" s="201" t="str">
        <f>VLOOKUP(Start!$H$22,Header_Data!$A3:$GZ32,36,FALSE)</f>
        <v>P = Praxis
L = Labor 
B = beides</v>
      </c>
      <c r="AJ4" s="201" t="str">
        <f>VLOOKUP(Start!$H$22,Header_Data!$A3:$GZ32,37,FALSE)</f>
        <v>(J/N)</v>
      </c>
      <c r="AK4" s="201" t="str">
        <f>VLOOKUP(Start!$H$22,Header_Data!$A3:$GZ32,38,FALSE)</f>
        <v>(J/N)</v>
      </c>
      <c r="AL4" s="201" t="str">
        <f>VLOOKUP(Start!$H$22,Header_Data!$A3:$GZ32,39,FALSE)</f>
        <v>Sprachen bitte durch Ländercode nach ISO 3166 angeben und durch / voneinander trennen.</v>
      </c>
      <c r="AM4" s="201" t="str">
        <f>VLOOKUP(Start!$H$22,Header_Data!$A3:$GZ32,40,FALSE)</f>
        <v>(J/N)</v>
      </c>
      <c r="AN4" s="201" t="str">
        <f>VLOOKUP(Start!$H$22,Header_Data!$A3:$GZ32,41,FALSE)</f>
        <v>Sprachen bitte durch Ländercode nach ISO 3166 angeben und durch / voneinander trennen.</v>
      </c>
      <c r="AO4" s="201" t="str">
        <f>VLOOKUP(Start!$H$22,Header_Data!$A3:$GZ32,42,FALSE)</f>
        <v>(J/N)</v>
      </c>
      <c r="AP4" s="202" t="str">
        <f>VLOOKUP(Start!$H$22,Header_Data!$A3:$GZ32,43,FALSE)</f>
        <v>in °C</v>
      </c>
      <c r="AQ4" s="203"/>
      <c r="AR4" s="203"/>
      <c r="AS4" s="204"/>
      <c r="AT4" s="201" t="str">
        <f>VLOOKUP(Start!$H$22,Header_Data!$A3:$GZ32,47,FALSE)</f>
        <v>in Stunden (h)</v>
      </c>
      <c r="AU4" s="201" t="str">
        <f>VLOOKUP(Start!$H$22,Header_Data!$A3:$GZ32,48,FALSE)</f>
        <v>(J/N)</v>
      </c>
      <c r="AV4" s="201" t="str">
        <f>VLOOKUP(Start!$H$22,Header_Data!$A3:$GZ32,49,FALSE)</f>
        <v>(J/N)</v>
      </c>
      <c r="AW4" s="201" t="str">
        <f>VLOOKUP(Start!$H$22,Header_Data!$A3:$GZ32,50,FALSE)</f>
        <v>(J/N)</v>
      </c>
      <c r="AX4" s="201" t="str">
        <f>VLOOKUP(Start!$H$22,Header_Data!$A3:$GZ32,51,FALSE)</f>
        <v>(J/N)</v>
      </c>
      <c r="AY4" s="201" t="str">
        <f>VLOOKUP(Start!$H$22,Header_Data!$A3:$GZ32,52,FALSE)</f>
        <v>(J/N)</v>
      </c>
      <c r="AZ4" s="201" t="str">
        <f>VLOOKUP(Start!$H$22,Header_Data!$A3:$GZ32,53,FALSE)</f>
        <v>(J/N)</v>
      </c>
      <c r="BA4" s="201" t="str">
        <f>VLOOKUP(Start!$H$22,Header_Data!$A3:$GZ32,54,FALSE)</f>
        <v>(J/N)</v>
      </c>
      <c r="BB4" s="201" t="str">
        <f>VLOOKUP(Start!$H$22,Header_Data!$A3:$GZ32,55,FALSE)</f>
        <v>(J/N)</v>
      </c>
      <c r="BC4" s="201" t="str">
        <f>VLOOKUP(Start!$H$22,Header_Data!$A3:$GZ32,56,FALSE)</f>
        <v>(J/N)</v>
      </c>
      <c r="BD4" s="201" t="str">
        <f>VLOOKUP(Start!$H$22,Header_Data!$A3:$GZ32,57,FALSE)</f>
        <v>(J/N)</v>
      </c>
      <c r="BE4" s="201" t="str">
        <f>VLOOKUP(Start!$H$22,Header_Data!$A3:$GZ32,58,FALSE)</f>
        <v>(J/N)</v>
      </c>
      <c r="BF4" s="201" t="str">
        <f>VLOOKUP(Start!$H$22,Header_Data!$A3:$GZ32,59,FALSE)</f>
        <v>Länder bitte durch Ländercodes nach ISO 3166 angeben und durch / voneinander trennen.</v>
      </c>
      <c r="BG4" s="201" t="str">
        <f>VLOOKUP(Start!$H$22,Header_Data!$A3:$GZ32,60,FALSE)</f>
        <v>alphanumerisch</v>
      </c>
      <c r="BH4" s="201" t="str">
        <f>VLOOKUP(Start!$H$22,Header_Data!$A3:$GZ32,61,FALSE)</f>
        <v>(J/N)</v>
      </c>
      <c r="BI4" s="201" t="str">
        <f>VLOOKUP(Start!$H$22,Header_Data!$A3:$GZ32,62,FALSE)</f>
        <v>(I, Is, Im, Ir, IIa, IIb, III, IVD)</v>
      </c>
      <c r="BJ4" s="201" t="str">
        <f>VLOOKUP(Start!$H$22,Header_Data!$A3:$GZ32,63,FALSE)</f>
        <v>(J/N)</v>
      </c>
      <c r="BK4" s="201" t="str">
        <f>VLOOKUP(Start!$H$22,Header_Data!$A3:$GZ32,64,FALSE)</f>
        <v>(J/N)</v>
      </c>
      <c r="BL4" s="201" t="str">
        <f>VLOOKUP(Start!$H$22,Header_Data!$A3:$GZ32,65,FALSE)</f>
        <v>(J/N)</v>
      </c>
      <c r="BM4" s="201" t="str">
        <f>VLOOKUP(Start!$H$22,Header_Data!$A3:$GZ32,66,FALSE)</f>
        <v>(J/N)</v>
      </c>
      <c r="BN4" s="201" t="str">
        <f>VLOOKUP(Start!$H$22,Header_Data!$A3:$GZ32,67,FALSE)</f>
        <v>(J/N)</v>
      </c>
      <c r="BO4" s="201" t="str">
        <f>VLOOKUP(Start!$H$22,Header_Data!$A3:$GZ32,68,FALSE)</f>
        <v>numerisch</v>
      </c>
      <c r="BP4" s="201" t="str">
        <f>VLOOKUP(Start!$H$22,Header_Data!$A3:$GZ32,69,FALSE)</f>
        <v>(J/N)</v>
      </c>
      <c r="BQ4" s="201" t="str">
        <f>VLOOKUP(Start!$H$22,Header_Data!$A3:$GZ32,70,FALSE)</f>
        <v>(J/N)</v>
      </c>
      <c r="BR4" s="201" t="str">
        <f>VLOOKUP(Start!$H$22,Header_Data!$A3:$GZ32,71,FALSE)</f>
        <v>in Gramm (g) oder Prozent (%) Wenn vorhanden, bitte beides angeben (Bsp. 3g / 15%)</v>
      </c>
      <c r="BS4" s="201" t="str">
        <f>VLOOKUP(Start!$H$22,Header_Data!$A3:$GZ32,72,FALSE)</f>
        <v>(J/N)
Wenn ein SDB vorhanden ist, dann muss dieses zwingend als Anhang mitgeschickt werden!</v>
      </c>
      <c r="BT4" s="201" t="str">
        <f>VLOOKUP(Start!$H$22,Header_Data!$A3:$GZ32,73,FALSE)</f>
        <v>Datum (tt.mm.jjjj)</v>
      </c>
      <c r="BU4" s="201" t="str">
        <f>VLOOKUP(Start!$H$22,Header_Data!$A3:$GZ32,74,FALSE)</f>
        <v>(J/N)</v>
      </c>
      <c r="BV4" s="201" t="str">
        <f>VLOOKUP(Start!$H$22,Header_Data!$A3:$GZ32,75,FALSE)</f>
        <v>(J/N)</v>
      </c>
      <c r="BW4" s="201" t="str">
        <f>VLOOKUP(Start!$H$22,Header_Data!$A3:$GZ32,76,FALSE)</f>
        <v>(J/N)</v>
      </c>
      <c r="BX4" s="201" t="str">
        <f>VLOOKUP(Start!$H$22,Header_Data!$A3:$GZ32,77,FALSE)</f>
        <v>numerisch</v>
      </c>
      <c r="BY4" s="201" t="str">
        <f>VLOOKUP(Start!$H$22,Header_Data!$A3:$GZ32,78,FALSE)</f>
        <v>Textfeld</v>
      </c>
      <c r="BZ4" s="201" t="str">
        <f>VLOOKUP(Start!$H$22,Header_Data!$A3:$GZ32,79,FALSE)</f>
        <v>numerisch</v>
      </c>
      <c r="CA4" s="201" t="str">
        <f>VLOOKUP(Start!$H$22,Header_Data!$A3:$GZ32,80,FALSE)</f>
        <v>numerisch</v>
      </c>
      <c r="CB4" s="201" t="str">
        <f>VLOOKUP(Start!$H$22,Header_Data!$A3:$GZ32,81,FALSE)</f>
        <v>numerisch</v>
      </c>
      <c r="CC4" s="201" t="str">
        <f>VLOOKUP(Start!$H$22,Header_Data!$A3:$GZ32,82,FALSE)</f>
        <v>numerisch</v>
      </c>
      <c r="CD4" s="201" t="str">
        <f>VLOOKUP(Start!$H$22,Header_Data!$A3:$GZ32,83,FALSE)</f>
        <v>numerisch</v>
      </c>
      <c r="CE4" s="201" t="str">
        <f>VLOOKUP(Start!$H$22,Header_Data!$A3:$GZ32,84,FALSE)</f>
        <v>numerisch</v>
      </c>
      <c r="CF4" s="201" t="str">
        <f>VLOOKUP(Start!$H$22,Header_Data!$A3:$GZ32,85,FALSE)</f>
        <v>numerisch</v>
      </c>
      <c r="CG4" s="201" t="str">
        <f>VLOOKUP(Start!$H$22,Header_Data!$A3:$GZ32,86,FALSE)</f>
        <v>Bitte vollständigen Code inkl. Klammern angeben.</v>
      </c>
      <c r="CH4" s="201" t="str">
        <f>VLOOKUP(Start!$H$22,Header_Data!$A3:$GZ32,87,FALSE)</f>
        <v>numerisch</v>
      </c>
      <c r="CI4" s="201" t="str">
        <f>VLOOKUP(Start!$H$22,Header_Data!$A3:$GZ32,88,FALSE)</f>
        <v>numerisch
in Milliliter (ml) oder Gramm (g)</v>
      </c>
      <c r="CJ4" s="201" t="str">
        <f>VLOOKUP(Start!$H$22,Header_Data!$A3:$GZ32,89,FALSE)</f>
        <v xml:space="preserve">Fass, Kanister, Kiste, Sack, 
Kombinationsverpackung, 
Feinstblechverpackung
</v>
      </c>
      <c r="CK4" s="201" t="str">
        <f>VLOOKUP(Start!$H$22,Header_Data!$A3:$GZ32,90,FALSE)</f>
        <v>(J/N)</v>
      </c>
      <c r="CL4" s="201" t="str">
        <f>VLOOKUP(Start!$H$22,Header_Data!$A3:$GZ32,91,FALSE)</f>
        <v>numerisch</v>
      </c>
      <c r="CM4" s="201" t="str">
        <f>VLOOKUP(Start!$H$22,Header_Data!$A3:$GZ32,92,FALSE)</f>
        <v>(J/N)</v>
      </c>
      <c r="CN4" s="201" t="str">
        <f>VLOOKUP(Start!$H$22,Header_Data!$A3:$GZ32,93,FALSE)</f>
        <v>(J/N)</v>
      </c>
      <c r="CO4" s="201" t="str">
        <f>VLOOKUP(Start!$H$22,Header_Data!$A3:$GZ32,94,FALSE)</f>
        <v>(J/N)</v>
      </c>
      <c r="CP4" s="201" t="str">
        <f>VLOOKUP(Start!$H$22,Header_Data!$A3:$GZ32,95,FALSE)</f>
        <v>(J/N)</v>
      </c>
      <c r="CQ4" s="201" t="str">
        <f>VLOOKUP(Start!$H$22,Header_Data!$A3:$GZ32,96,FALSE)</f>
        <v>(J/N)</v>
      </c>
      <c r="CR4" s="201" t="str">
        <f>VLOOKUP(Start!$H$22,Header_Data!$A3:$GZ32,97,FALSE)</f>
        <v>(J/N)</v>
      </c>
      <c r="CS4" s="201" t="str">
        <f>VLOOKUP(Start!$H$22,Header_Data!$A3:$GZ32,98,FALSE)</f>
        <v>(J/N)</v>
      </c>
      <c r="CT4" s="202" t="str">
        <f>VLOOKUP(Start!$H$22,Header_Data!$A3:$GZ32,99,FALSE)</f>
        <v>in Millimeter (mm)</v>
      </c>
      <c r="CU4" s="203"/>
      <c r="CV4" s="204"/>
      <c r="CW4" s="201" t="str">
        <f>VLOOKUP(Start!$H$22,Header_Data!$A3:$GZ32,102,FALSE)</f>
        <v>in Liter (L)</v>
      </c>
      <c r="CX4" s="201" t="str">
        <f>VLOOKUP(Start!$H$22,Header_Data!$A3:$GZ32,103,FALSE)</f>
        <v>in °C</v>
      </c>
      <c r="CY4" s="201" t="str">
        <f>VLOOKUP(Start!$H$22,Header_Data!$A3:$GZ32,104,FALSE)</f>
        <v>in Watt (W)</v>
      </c>
      <c r="CZ4" s="201" t="str">
        <f>VLOOKUP(Start!$H$22,Header_Data!$A3:$GZ32,105,FALSE)</f>
        <v>(J/N)</v>
      </c>
      <c r="DA4" s="201" t="str">
        <f>VLOOKUP(Start!$H$22,Header_Data!$A3:$GZ32,106,FALSE)</f>
        <v>(J/N)</v>
      </c>
      <c r="DB4" s="201" t="str">
        <f>VLOOKUP(Start!$H$22,Header_Data!$A3:$GZ32,107,FALSE)</f>
        <v>numerisch</v>
      </c>
      <c r="DC4" s="201" t="str">
        <f>VLOOKUP(Start!$H$22,Header_Data!$A3:$GZ32,108,FALSE)</f>
        <v>(J/N)</v>
      </c>
      <c r="DD4" s="201" t="str">
        <f>VLOOKUP(Start!$H$22,Header_Data!$A3:$GZ32,109,FALSE)</f>
        <v>(J/N)</v>
      </c>
      <c r="DE4" s="201" t="str">
        <f>VLOOKUP(Start!$H$22,Header_Data!$A3:$GZ32,110,FALSE)</f>
        <v>(J/N)</v>
      </c>
      <c r="DF4" s="201" t="str">
        <f>VLOOKUP(Start!$H$22,Header_Data!$A3:$GZ32,111,FALSE)</f>
        <v>(J/N)</v>
      </c>
      <c r="DG4" s="201" t="str">
        <f>VLOOKUP(Start!$H$22,Header_Data!$A3:$GZ32,112,FALSE)</f>
        <v>(J/N)</v>
      </c>
      <c r="DH4" s="201" t="str">
        <f>VLOOKUP(Start!$H$22,Header_Data!$A3:$GZ32,113,FALSE)</f>
        <v>Textfeld
(LiIon, LiMetall, Blei, NiCa, etc.)</v>
      </c>
      <c r="DI4" s="201" t="str">
        <f>VLOOKUP(Start!$H$22,Header_Data!$A3:$GZ32,114,FALSE)</f>
        <v>numerisch</v>
      </c>
      <c r="DJ4" s="201" t="str">
        <f>VLOOKUP(Start!$H$22,Header_Data!$A3:$GZ32,115,FALSE)</f>
        <v>numerisch</v>
      </c>
      <c r="DK4" s="201" t="str">
        <f>VLOOKUP(Start!$H$22,Header_Data!$A3:$GZ32,116,FALSE)</f>
        <v>(J/N)</v>
      </c>
      <c r="DL4" s="201" t="str">
        <f>VLOOKUP(Start!$H$22,Header_Data!$A3:$GZ32,117,FALSE)</f>
        <v>in Monaten</v>
      </c>
      <c r="DM4" s="201" t="str">
        <f>VLOOKUP(Start!$H$22,Header_Data!$A3:$GZ32,118,FALSE)</f>
        <v>in Monaten</v>
      </c>
      <c r="DN4" s="201" t="str">
        <f>VLOOKUP(Start!$H$22,Header_Data!$A3:$GZ32,119,FALSE)</f>
        <v>in Monaten</v>
      </c>
      <c r="DO4" s="201" t="str">
        <f>VLOOKUP(Start!$H$22,Header_Data!$A3:$GZ32,120,FALSE)</f>
        <v>in Monaten</v>
      </c>
      <c r="DP4" s="201" t="str">
        <f>VLOOKUP(Start!$H$22,Header_Data!$A3:$GZ32,121,FALSE)</f>
        <v>(J/N)</v>
      </c>
      <c r="DQ4" s="202" t="str">
        <f>VLOOKUP(Start!$H$22,Header_Data!$A3:$GZ32,122,FALSE)</f>
        <v>in Gramm (g)</v>
      </c>
      <c r="DR4" s="203"/>
      <c r="DS4" s="203"/>
      <c r="DT4" s="203"/>
      <c r="DU4" s="203"/>
      <c r="DV4" s="204"/>
      <c r="DW4" s="201" t="str">
        <f>VLOOKUP(Start!$H$22,Header_Data!$A3:$GZ32,128,FALSE)</f>
        <v>(J/N)</v>
      </c>
      <c r="DX4" s="202" t="str">
        <f>VLOOKUP(Start!$H$22,Header_Data!$A3:$GZ32,129,FALSE)</f>
        <v>in Gramm (g)</v>
      </c>
      <c r="DY4" s="203"/>
      <c r="DZ4" s="203"/>
      <c r="EA4" s="203"/>
      <c r="EB4" s="203"/>
      <c r="EC4" s="204"/>
      <c r="ED4" s="201" t="str">
        <f>VLOOKUP(Start!$H$22,Header_Data!$A3:$GZ32,135,FALSE)</f>
        <v>(J/N)</v>
      </c>
      <c r="EE4" s="202" t="str">
        <f>VLOOKUP(Start!$H$22,Header_Data!$A3:$GZ32,136,FALSE)</f>
        <v>in Gramm (g)</v>
      </c>
      <c r="EF4" s="203"/>
      <c r="EG4" s="203"/>
      <c r="EH4" s="203"/>
      <c r="EI4" s="203"/>
      <c r="EJ4" s="204"/>
      <c r="EK4" s="201" t="str">
        <f>VLOOKUP(Start!$H$22,Header_Data!$A3:$GZ32,142,FALSE)</f>
        <v>(J/N)</v>
      </c>
      <c r="EL4" s="201" t="str">
        <f>VLOOKUP(Start!$H$22,Header_Data!$A3:$GZ32,143,FALSE)</f>
        <v>in Stück</v>
      </c>
      <c r="EM4" s="201" t="str">
        <f>VLOOKUP(Start!$H$22,Header_Data!$A3:$GZ32,144,FALSE)</f>
        <v>numerisch</v>
      </c>
      <c r="EN4" s="202" t="str">
        <f>VLOOKUP(Start!$H$22,Header_Data!$A3:$GZ32,145,FALSE)</f>
        <v>numerisch in Millimeter (mm)</v>
      </c>
      <c r="EO4" s="203"/>
      <c r="EP4" s="204"/>
      <c r="EQ4" s="202" t="str">
        <f>VLOOKUP(Start!$H$22,Header_Data!$A3:$GZ32,148,FALSE)</f>
        <v>numerisch in Gramm (g)</v>
      </c>
      <c r="ER4" s="204"/>
      <c r="ES4" s="201" t="str">
        <f>VLOOKUP(Start!$H$22,Header_Data!$A3:$GZ32,150,FALSE)</f>
        <v>(J/N)</v>
      </c>
      <c r="ET4" s="201" t="str">
        <f>VLOOKUP(Start!$H$22,Header_Data!$A3:$GZ32,151,FALSE)</f>
        <v>(J/N)</v>
      </c>
      <c r="EU4" s="201" t="str">
        <f>VLOOKUP(Start!$H$22,Header_Data!$A3:$GZ32,152,FALSE)</f>
        <v>numerisch</v>
      </c>
      <c r="EV4" s="202" t="str">
        <f>VLOOKUP(Start!$H$22,Header_Data!$A3:$GZ32,153,FALSE)</f>
        <v>in Millimeter (mm)</v>
      </c>
      <c r="EW4" s="203"/>
      <c r="EX4" s="204"/>
      <c r="EY4" s="202" t="str">
        <f>VLOOKUP(Start!$H$22,Header_Data!$A3:$GZ32,156,FALSE)</f>
        <v>in Gramm (g)</v>
      </c>
      <c r="EZ4" s="204"/>
      <c r="FA4" s="201" t="str">
        <f>VLOOKUP(Start!$H$22,Header_Data!$A3:$GZ32,158,FALSE)</f>
        <v>(J/N)</v>
      </c>
      <c r="FB4" s="201" t="str">
        <f>VLOOKUP(Start!$H$22,Header_Data!$A3:$GZ32,159,FALSE)</f>
        <v>Textfeld</v>
      </c>
      <c r="FC4" s="201" t="str">
        <f>VLOOKUP(Start!$H$22,Header_Data!$A3:$GZ32,160,FALSE)</f>
        <v>numerisch</v>
      </c>
      <c r="FD4" s="201" t="str">
        <f>VLOOKUP(Start!$H$22,Header_Data!$A3:$GZ32,161,FALSE)</f>
        <v>in Millimeter (mm)</v>
      </c>
      <c r="FE4" s="201" t="str">
        <f>VLOOKUP(Start!$H$22,Header_Data!$A3:$GZ32,162,FALSE)</f>
        <v>numerisch, 8-11-stellig</v>
      </c>
      <c r="FF4" s="201" t="str">
        <f>VLOOKUP(Start!$H$22,Header_Data!$A3:$GZ32,163,FALSE)</f>
        <v>(J/N)</v>
      </c>
      <c r="FG4" s="201" t="str">
        <f>VLOOKUP(Start!$H$22,Header_Data!$A3:$GZ32,164,FALSE)</f>
        <v>zweistellig, gemäß ISO 3166, Alpha 2</v>
      </c>
      <c r="FH4" s="201" t="str">
        <f>VLOOKUP(Start!$H$22,Header_Data!$A3:$GZ32,165,FALSE)</f>
        <v>Textfeld</v>
      </c>
      <c r="FI4" s="201" t="str">
        <f>VLOOKUP(Start!$H$22,Header_Data!$A3:$GZ32,166,FALSE)</f>
        <v>(J/N)</v>
      </c>
      <c r="FJ4" s="201" t="str">
        <f>VLOOKUP(Start!$H$22,Header_Data!$A3:$GZ32,167,FALSE)</f>
        <v>in EUR</v>
      </c>
      <c r="FK4" s="201" t="str">
        <f>VLOOKUP(Start!$H$22,Header_Data!$A3:$GZ32,168,FALSE)</f>
        <v>Textfeld</v>
      </c>
      <c r="FL4" s="201" t="str">
        <f>VLOOKUP(Start!$H$22,Header_Data!$A3:$GZ32,169,FALSE)</f>
        <v>in Prozent (%)</v>
      </c>
      <c r="FM4" s="201" t="str">
        <f>VLOOKUP(Start!$H$22,Header_Data!$A3:$GZ32,170,FALSE)</f>
        <v>Text und/oder Anhang / N
(z.B. latexhaltig)</v>
      </c>
      <c r="FN4" s="202" t="str">
        <f>VLOOKUP(Start!$H$22,Header_Data!$A3:$GZ32,171,FALSE)</f>
        <v>Originalname der SD Datei des Herstellers</v>
      </c>
      <c r="FO4" s="203"/>
      <c r="FP4" s="203"/>
      <c r="FQ4" s="203"/>
      <c r="FR4" s="204"/>
      <c r="FS4" s="201" t="str">
        <f>VLOOKUP(Start!$H$22,Header_Data!$A3:$GZ32,176,FALSE)</f>
        <v>(J/N)</v>
      </c>
      <c r="FT4" s="201" t="str">
        <f>VLOOKUP(Start!$H$22,Header_Data!$A3:$GZ32,177,FALSE)</f>
        <v>Händler bitte durch / voneinander trennen. (Bsp. DU/HSC/PD/NWD/M&amp;W)</v>
      </c>
      <c r="FU4" s="201" t="str">
        <f>VLOOKUP(Start!$H$22,Header_Data!$A3:$GZ32,178,FALSE)</f>
        <v>(J/N)</v>
      </c>
      <c r="FV4" s="201" t="str">
        <f>VLOOKUP(Start!$H$22,Header_Data!$A3:$GZ32,179,FALSE)</f>
        <v>(I, II, III)</v>
      </c>
      <c r="FW4" s="201" t="str">
        <f>VLOOKUP(Start!$H$22,Header_Data!$A3:$GZ32,180,FALSE)</f>
        <v>(J/N)</v>
      </c>
      <c r="FX4" s="201" t="s">
        <v>663</v>
      </c>
      <c r="FY4" s="201" t="str">
        <f>VLOOKUP(Start!$H$22,Header_Data!$A3:$GZ32,181,FALSE)</f>
        <v>MDR oder MDD</v>
      </c>
      <c r="FZ4" s="201" t="str">
        <f>VLOOKUP(Start!$H$22,Header_Data!$A3:$GZ32,182,FALSE)</f>
        <v>Alphanumerisch</v>
      </c>
      <c r="GA4" s="201" t="str">
        <f>VLOOKUP(Start!$H$22,Header_Data!$A3:$GZ32,183,FALSE)</f>
        <v>Alphanumerisch</v>
      </c>
      <c r="GB4" s="201" t="str">
        <f>VLOOKUP(Start!$H$22,Header_Data!$A3:$GZ32,184,FALSE)</f>
        <v>tt.mm.jjjj</v>
      </c>
      <c r="GC4" s="201" t="str">
        <f>VLOOKUP(Start!$H$22,Header_Data!$A3:$GZ32,185,FALSE)</f>
        <v>(J/N)</v>
      </c>
      <c r="GD4" s="201" t="str">
        <f>VLOOKUP(Start!$H$22,Header_Data!$A3:$GZ32,186,FALSE)</f>
        <v>(J/N)</v>
      </c>
    </row>
    <row r="5" spans="1:186" s="207" customFormat="1" ht="86.4" customHeight="1" outlineLevel="1" x14ac:dyDescent="0.3">
      <c r="A5" s="206" t="str">
        <f>VLOOKUP(Start!H23,Header_Data!$A3:$GZ32,2,FALSE)</f>
        <v>Nur für csv-Konvertierung erforderlich</v>
      </c>
      <c r="B5" s="206" t="str">
        <f>VLOOKUP(Start!$H$23,Header_Data!$A3:$GZ32,3,FALSE)</f>
        <v>Pflichtfeld</v>
      </c>
      <c r="C5" s="206" t="str">
        <f>VLOOKUP(Start!$H$23,Header_Data!$A3:$GZ32,4,FALSE)</f>
        <v>Pflichtfeld</v>
      </c>
      <c r="D5" s="206" t="str">
        <f>VLOOKUP(Start!$H$23,Header_Data!$A3:$GZ32,5,FALSE)</f>
        <v>Pflichtfeld</v>
      </c>
      <c r="E5" s="206" t="str">
        <f>VLOOKUP(Start!$H$23,Header_Data!$A3:$GZ32,6,FALSE)</f>
        <v>Pflichtfeld</v>
      </c>
      <c r="F5" s="206" t="str">
        <f>VLOOKUP(Start!$H$23,Header_Data!$A3:$GZ32,7,FALSE)</f>
        <v>Pflichtfeld 
Wenn "N" oder "A", bitte auch die folgenden Felder ausfüllen (graue Spaltenüberschriften).</v>
      </c>
      <c r="G5" s="206" t="str">
        <f>VLOOKUP(Start!$H$23,Header_Data!$A3:$GZ32,8,FALSE)</f>
        <v>abhängiges Feld</v>
      </c>
      <c r="H5" s="206" t="str">
        <f>VLOOKUP(Start!$H$23,Header_Data!$A3:$GZ32,9,FALSE)</f>
        <v>abhängiges Feld</v>
      </c>
      <c r="I5" s="206" t="str">
        <f>VLOOKUP(Start!$H$23,Header_Data!$A3:$GZ32,10,FALSE)</f>
        <v>abhängiges Feld</v>
      </c>
      <c r="J5" s="206" t="str">
        <f>VLOOKUP(Start!$H$23,Header_Data!$A3:$GZ32,11,FALSE)</f>
        <v>abhängiges Feld</v>
      </c>
      <c r="K5" s="206" t="str">
        <f>VLOOKUP(Start!$H$23,Header_Data!$A3:$GZ32,12,FALSE)</f>
        <v>Pflichtfeld 
Wenn "J", bitte auch die folgenden Felder ausfüllen (graue Spaltenüberschriften).</v>
      </c>
      <c r="L5" s="206" t="str">
        <f>VLOOKUP(Start!$H$23,Header_Data!$A3:$GZ32,13,FALSE)</f>
        <v>abhängiges Feld</v>
      </c>
      <c r="M5" s="206" t="str">
        <f>VLOOKUP(Start!$H$23,Header_Data!$A3:$GZ32,14,FALSE)</f>
        <v>abhängiges Feld</v>
      </c>
      <c r="N5" s="206" t="str">
        <f>VLOOKUP(Start!$H$23,Header_Data!$A3:$GZ32,15,FALSE)</f>
        <v>Pflichtfeld</v>
      </c>
      <c r="O5" s="206" t="str">
        <f>VLOOKUP(Start!$H$23,Header_Data!$A3:$GZ32,16,FALSE)</f>
        <v>Pflichtfeld</v>
      </c>
      <c r="P5" s="206" t="str">
        <f>VLOOKUP(Start!$H$23,Header_Data!$A3:$GZ32,17,FALSE)</f>
        <v>Pflichtfeld</v>
      </c>
      <c r="Q5" s="206" t="str">
        <f>VLOOKUP(Start!$H$23,Header_Data!$A3:$GZ32,18,FALSE)</f>
        <v>Pflichtfeld</v>
      </c>
      <c r="R5" s="206" t="str">
        <f>VLOOKUP(Start!$H$23,Header_Data!$A3:$GZ32,19,FALSE)</f>
        <v>Pflichtfeld</v>
      </c>
      <c r="S5" s="206" t="str">
        <f>VLOOKUP(Start!$H$23,Header_Data!$A3:$GZ32,20,FALSE)</f>
        <v>Pflichtfeld</v>
      </c>
      <c r="T5" s="206" t="str">
        <f>VLOOKUP(Start!$H$23,Header_Data!$A3:$GZ32,21,FALSE)</f>
        <v>Pflichtfeld</v>
      </c>
      <c r="U5" s="206" t="str">
        <f>VLOOKUP(Start!$H$23,Header_Data!$A3:$GZ32,22,FALSE)</f>
        <v>Pflichtfeld
Bei "J", bitte rechts alle für diesen Artikel vorhandenen Barcodes angeben.</v>
      </c>
      <c r="V5" s="206" t="str">
        <f>VLOOKUP(Start!$H$23,Header_Data!$A3:$GZ32,23,FALSE)</f>
        <v>abhängiges Feld</v>
      </c>
      <c r="W5" s="206" t="str">
        <f>VLOOKUP(Start!$H$23,Header_Data!$A3:$GZ32,24,FALSE)</f>
        <v>abhängiges Feld</v>
      </c>
      <c r="X5" s="206" t="str">
        <f>VLOOKUP(Start!$H$23,Header_Data!$A3:$GZ32,25,FALSE)</f>
        <v>abhängiges Feld</v>
      </c>
      <c r="Y5" s="206" t="str">
        <f>VLOOKUP(Start!$H$23,Header_Data!$A3:$GZ32,26,FALSE)</f>
        <v>abhängiges Feld</v>
      </c>
      <c r="Z5" s="206" t="str">
        <f>VLOOKUP(Start!$H$23,Header_Data!$A3:$GZ32,27,FALSE)</f>
        <v>abhängiges Feld</v>
      </c>
      <c r="AA5" s="206" t="str">
        <f>VLOOKUP(Start!$H$23,Header_Data!$A3:$GZ32,28,FALSE)</f>
        <v>abhängiges Feld</v>
      </c>
      <c r="AB5" s="206" t="str">
        <f>VLOOKUP(Start!$H$23,Header_Data!$A3:$GZ32,29,FALSE)</f>
        <v>abhängiges Feld</v>
      </c>
      <c r="AC5" s="206" t="str">
        <f>VLOOKUP(Start!$H$23,Header_Data!$A3:$GZ32,30,FALSE)</f>
        <v>abhängiges Feld</v>
      </c>
      <c r="AD5" s="206" t="str">
        <f>VLOOKUP(Start!$H$23,Header_Data!$A3:$GZ32,31,FALSE)</f>
        <v>abhängiges Feld</v>
      </c>
      <c r="AE5" s="206" t="str">
        <f>VLOOKUP(Start!$H$23,Header_Data!$A3:$GZ32,32,FALSE)</f>
        <v>abhängiges Feld</v>
      </c>
      <c r="AF5" s="206" t="str">
        <f>VLOOKUP(Start!$H$23,Header_Data!$A3:$GZ32,33,FALSE)</f>
        <v>Pflichtfeld 
Wenn "J", bitte Code eingeben und das folgende (graue) Feld ausfüllen</v>
      </c>
      <c r="AG5" s="206" t="str">
        <f>VLOOKUP(Start!$H$23,Header_Data!$A3:$GZ32,34,FALSE)</f>
        <v>abhängiges Feld</v>
      </c>
      <c r="AH5" s="206" t="str">
        <f>VLOOKUP(Start!$H$23,Header_Data!$A3:$GZ32,35,FALSE)</f>
        <v xml:space="preserve">Pflichtfeld 
</v>
      </c>
      <c r="AI5" s="206" t="str">
        <f>VLOOKUP(Start!$H$23,Header_Data!$A3:$GZ32,36,FALSE)</f>
        <v>Pflichtfeld</v>
      </c>
      <c r="AJ5" s="206" t="str">
        <f>VLOOKUP(Start!$H$23,Header_Data!$A3:$GZ32,37,FALSE)</f>
        <v>Pflichtfeld</v>
      </c>
      <c r="AK5" s="206" t="str">
        <f>VLOOKUP(Start!$H$23,Header_Data!$A3:$GZ32,38,FALSE)</f>
        <v>Pflichtfeld 
Wenn "N", bitte auch das folgende Feld ausfüllen (graue Spaltenüberschrift).</v>
      </c>
      <c r="AL5" s="206" t="str">
        <f>VLOOKUP(Start!$H$23,Header_Data!$A3:$GZ32,39,FALSE)</f>
        <v>abhängiges Feld</v>
      </c>
      <c r="AM5" s="206" t="str">
        <f>VLOOKUP(Start!$H$23,Header_Data!$A3:$GZ32,40,FALSE)</f>
        <v>Pflichtfeld 
Wenn "J", bitte auch das folgende Feld ausfüllen (graue Spaltenüberschrift).</v>
      </c>
      <c r="AN5" s="206" t="str">
        <f>VLOOKUP(Start!$H$23,Header_Data!$A3:$GZ32,41,FALSE)</f>
        <v>abhängiges Feld</v>
      </c>
      <c r="AO5" s="206" t="str">
        <f>VLOOKUP(Start!$H$23,Header_Data!$A3:$GZ32,42,FALSE)</f>
        <v>Pflichtfeld 
Wenn "J", bitte auch die folgenden Felder ausfüllen (graue Spaltenüberschriften).</v>
      </c>
      <c r="AP5" s="206" t="str">
        <f>VLOOKUP(Start!$H$23,Header_Data!$A3:$GZ32,43,FALSE)</f>
        <v>abhängiges Feld</v>
      </c>
      <c r="AQ5" s="206" t="str">
        <f>VLOOKUP(Start!$H$23,Header_Data!$A3:$GZ32,44,FALSE)</f>
        <v>abhängiges Feld</v>
      </c>
      <c r="AR5" s="206" t="str">
        <f>VLOOKUP(Start!$H$23,Header_Data!$A3:$GZ32,45,FALSE)</f>
        <v>abhängiges Feld</v>
      </c>
      <c r="AS5" s="206" t="str">
        <f>VLOOKUP(Start!$H$23,Header_Data!$A3:$GZ32,46,FALSE)</f>
        <v>abhängiges Feld</v>
      </c>
      <c r="AT5" s="206" t="str">
        <f>VLOOKUP(Start!$H$23,Header_Data!$A3:$GZ32,47,FALSE)</f>
        <v>abhängiges Feld</v>
      </c>
      <c r="AU5" s="206" t="str">
        <f>VLOOKUP(Start!$H$23,Header_Data!$A3:$GZ32,48,FALSE)</f>
        <v>abhängiges Feld</v>
      </c>
      <c r="AV5" s="206" t="str">
        <f>VLOOKUP(Start!$H$23,Header_Data!$A3:$GZ32,49,FALSE)</f>
        <v>Pflichtfeld 
Wenn "J", bitte auch die folgenden Felder ausfüllen (graue Spaltenüberschriften).</v>
      </c>
      <c r="AW5" s="206" t="str">
        <f>VLOOKUP(Start!$H$23,Header_Data!$A3:$GZ32,50,FALSE)</f>
        <v>abhängiges Feld</v>
      </c>
      <c r="AX5" s="206" t="str">
        <f>VLOOKUP(Start!$H$23,Header_Data!$A3:$GZ32,51,FALSE)</f>
        <v>abhängiges Feld</v>
      </c>
      <c r="AY5" s="206" t="str">
        <f>VLOOKUP(Start!$H$23,Header_Data!$A3:$GZ32,52,FALSE)</f>
        <v>abhängiges Feld</v>
      </c>
      <c r="AZ5" s="206" t="str">
        <f>VLOOKUP(Start!$H$23,Header_Data!$A3:$GZ32,53,FALSE)</f>
        <v>abhängiges Feld</v>
      </c>
      <c r="BA5" s="206" t="str">
        <f>VLOOKUP(Start!$H$23,Header_Data!$A3:$GZ32,54,FALSE)</f>
        <v>abhängiges Feld</v>
      </c>
      <c r="BB5" s="206" t="str">
        <f>VLOOKUP(Start!$H$23,Header_Data!$A3:$GZ32,55,FALSE)</f>
        <v>abhängiges Feld</v>
      </c>
      <c r="BC5" s="206" t="str">
        <f>VLOOKUP(Start!$H$23,Header_Data!$A3:$GZ32,56,FALSE)</f>
        <v>abhängiges Feld</v>
      </c>
      <c r="BD5" s="206" t="str">
        <f>VLOOKUP(Start!$H$23,Header_Data!$A3:$GZ32,57,FALSE)</f>
        <v>abhängiges Feld</v>
      </c>
      <c r="BE5" s="206" t="str">
        <f>VLOOKUP(Start!$H$23,Header_Data!$A3:$GZ32,58,FALSE)</f>
        <v>abhängiges Feld</v>
      </c>
      <c r="BF5" s="206" t="str">
        <f>VLOOKUP(Start!$H$23,Header_Data!$A3:$GZ32,59,FALSE)</f>
        <v>abhängiges Feld</v>
      </c>
      <c r="BG5" s="206" t="str">
        <f>VLOOKUP(Start!$H$23,Header_Data!$A3:$GZ32,60,FALSE)</f>
        <v>abhängiges Feld</v>
      </c>
      <c r="BH5" s="206" t="str">
        <f>VLOOKUP(Start!$H$23,Header_Data!$A3:$GZ32,61,FALSE)</f>
        <v>Pflichtfeld 
Wenn "J", bitte auch die folgenden Felder ausfüllen (graue Spaltenüberschriften) sowie Spalte 181 ff.</v>
      </c>
      <c r="BI5" s="206" t="str">
        <f>VLOOKUP(Start!$H$23,Header_Data!$A3:$GZ32,62,FALSE)</f>
        <v>abhängiges Feld</v>
      </c>
      <c r="BJ5" s="206" t="str">
        <f>VLOOKUP(Start!$H$23,Header_Data!$A3:$GZ32,63,FALSE)</f>
        <v>abhängiges Feld</v>
      </c>
      <c r="BK5" s="206" t="str">
        <f>VLOOKUP(Start!$H$23,Header_Data!$A3:$GZ32,64,FALSE)</f>
        <v>abhängiges Feld</v>
      </c>
      <c r="BL5" s="206" t="str">
        <f>VLOOKUP(Start!$H$23,Header_Data!$A3:$GZ32,65,FALSE)</f>
        <v>Pflichtfeld 
Wenn "J", bitte auch das folgende Feld ausfüllen (graue Spaltenüberschrift).</v>
      </c>
      <c r="BM5" s="206" t="str">
        <f>VLOOKUP(Start!$H$23,Header_Data!$A3:$GZ32,66,FALSE)</f>
        <v>abhängiges Feld</v>
      </c>
      <c r="BN5" s="206" t="str">
        <f>VLOOKUP(Start!$H$23,Header_Data!$A3:$GZ32,67,FALSE)</f>
        <v>Pflichtfeld 
Wenn "J", bitte auch das folgende Feld ausfüllen (graue Spaltenüberschrift).</v>
      </c>
      <c r="BO5" s="206" t="str">
        <f>VLOOKUP(Start!$H$23,Header_Data!$A3:$GZ32,68,FALSE)</f>
        <v>abhängiges Feld</v>
      </c>
      <c r="BP5" s="206" t="str">
        <f>VLOOKUP(Start!$H$23,Header_Data!$A3:$GZ32,69,FALSE)</f>
        <v>Pflichtfeld</v>
      </c>
      <c r="BQ5" s="206" t="str">
        <f>VLOOKUP(Start!$H$23,Header_Data!$A3:$GZ32,70,FALSE)</f>
        <v>Pflichtfeld</v>
      </c>
      <c r="BR5" s="206" t="str">
        <f>VLOOKUP(Start!$H$23,Header_Data!$A3:$GZ32,71,FALSE)</f>
        <v>Pflichtfeld</v>
      </c>
      <c r="BS5" s="206" t="str">
        <f>VLOOKUP(Start!$H$23,Header_Data!$A3:$GZ32,72,FALSE)</f>
        <v>Pflichtfeld 
Wenn "J", bitte auch die folgenden Felder ausfüllen (graue Spaltenüberschriften).</v>
      </c>
      <c r="BT5" s="206" t="str">
        <f>VLOOKUP(Start!$H$23,Header_Data!$A3:$GZ32,73,FALSE)</f>
        <v>abhängiges Feld</v>
      </c>
      <c r="BU5" s="206" t="str">
        <f>VLOOKUP(Start!$H$23,Header_Data!$A3:$GZ32,74,FALSE)</f>
        <v>abhängiges Feld</v>
      </c>
      <c r="BV5" s="206" t="str">
        <f>VLOOKUP(Start!$H$23,Header_Data!$A3:$GZ32,75,FALSE)</f>
        <v>Pflichtfeld 
Wenn "J", bitte auch die folgenden Felder ausfüllen (graue Spaltenüberschriften).</v>
      </c>
      <c r="BW5" s="206" t="str">
        <f>VLOOKUP(Start!$H$23,Header_Data!$A3:$GZ32,76,FALSE)</f>
        <v>abhängiges Feld</v>
      </c>
      <c r="BX5" s="206" t="str">
        <f>VLOOKUP(Start!$H$23,Header_Data!$A3:$GZ32,77,FALSE)</f>
        <v>abhängiges Feld</v>
      </c>
      <c r="BY5" s="206" t="str">
        <f>VLOOKUP(Start!$H$23,Header_Data!$A3:$GZ32,78,FALSE)</f>
        <v>abhängiges Feld</v>
      </c>
      <c r="BZ5" s="206" t="str">
        <f>VLOOKUP(Start!$H$23,Header_Data!$A3:$GZ32,79,FALSE)</f>
        <v>abhängiges Feld</v>
      </c>
      <c r="CA5" s="206" t="str">
        <f>VLOOKUP(Start!$H$23,Header_Data!$A3:$GZ32,80,FALSE)</f>
        <v>abhängiges Feld</v>
      </c>
      <c r="CB5" s="206" t="str">
        <f>VLOOKUP(Start!$H$23,Header_Data!$A3:$GZ32,81,FALSE)</f>
        <v>abhängiges Feld</v>
      </c>
      <c r="CC5" s="206" t="str">
        <f>VLOOKUP(Start!$H$23,Header_Data!$A3:$GZ32,82,FALSE)</f>
        <v>abhängiges Feld</v>
      </c>
      <c r="CD5" s="206" t="str">
        <f>VLOOKUP(Start!$H$23,Header_Data!$A3:$GZ32,83,FALSE)</f>
        <v>abhängiges Feld</v>
      </c>
      <c r="CE5" s="206" t="str">
        <f>VLOOKUP(Start!$H$23,Header_Data!$A3:$GZ32,84,FALSE)</f>
        <v>abhängiges Feld</v>
      </c>
      <c r="CF5" s="206" t="str">
        <f>VLOOKUP(Start!$H$23,Header_Data!$A3:$GZ32,85,FALSE)</f>
        <v>abhängiges Feld</v>
      </c>
      <c r="CG5" s="206" t="str">
        <f>VLOOKUP(Start!$H$23,Header_Data!$A3:$GZ32,86,FALSE)</f>
        <v>abhängiges Feld</v>
      </c>
      <c r="CH5" s="206" t="str">
        <f>VLOOKUP(Start!$H$23,Header_Data!$A3:$GZ32,87,FALSE)</f>
        <v>abhängiges Feld</v>
      </c>
      <c r="CI5" s="206" t="str">
        <f>VLOOKUP(Start!$H$23,Header_Data!$A3:$GZ32,88,FALSE)</f>
        <v>abhängiges Feld</v>
      </c>
      <c r="CJ5" s="206" t="str">
        <f>VLOOKUP(Start!$H$23,Header_Data!$A3:$GZ32,89,FALSE)</f>
        <v>abhängiges Feld</v>
      </c>
      <c r="CK5" s="206" t="str">
        <f>VLOOKUP(Start!$H$23,Header_Data!$A3:$GZ32,90,FALSE)</f>
        <v>abhängiges Feld</v>
      </c>
      <c r="CL5" s="206" t="str">
        <f>VLOOKUP(Start!$H$23,Header_Data!$A3:$GZ32,91,FALSE)</f>
        <v>abhängiges Feld</v>
      </c>
      <c r="CM5" s="206" t="str">
        <f>VLOOKUP(Start!$H$23,Header_Data!$A3:$GZ32,92,FALSE)</f>
        <v>abhängiges Feld</v>
      </c>
      <c r="CN5" s="206" t="str">
        <f>VLOOKUP(Start!$H$23,Header_Data!$A3:$GZ32,93,FALSE)</f>
        <v>Pflichtfeld</v>
      </c>
      <c r="CO5" s="206" t="str">
        <f>VLOOKUP(Start!$H$23,Header_Data!$A3:$GZ32,94,FALSE)</f>
        <v>Pflichtfeld 
Wenn "J", bitte auch die folgenden Felder ausfüllen (graue Spaltenüberschriften).</v>
      </c>
      <c r="CP5" s="206" t="str">
        <f>VLOOKUP(Start!$H$23,Header_Data!$A3:$GZ32,95,FALSE)</f>
        <v>abhängiges Feld</v>
      </c>
      <c r="CQ5" s="206" t="str">
        <f>VLOOKUP(Start!$H$23,Header_Data!$A3:$GZ32,96,FALSE)</f>
        <v>abhängiges Feld</v>
      </c>
      <c r="CR5" s="206" t="str">
        <f>VLOOKUP(Start!$H$23,Header_Data!$A3:$GZ32,97,FALSE)</f>
        <v>abhängiges Feld</v>
      </c>
      <c r="CS5" s="206" t="str">
        <f>VLOOKUP(Start!$H$23,Header_Data!$A3:$GZ32,98,FALSE)</f>
        <v>Pflichtfeld 
Wenn "J", bitte auch die folgenden Felder ausfüllen (graue Spaltenüberschriften).</v>
      </c>
      <c r="CT5" s="206" t="str">
        <f>VLOOKUP(Start!$H$23,Header_Data!$A3:$GZ32,99,FALSE)</f>
        <v>abhängiges Feld</v>
      </c>
      <c r="CU5" s="206" t="str">
        <f>VLOOKUP(Start!$H$23,Header_Data!$A3:$GZ32,100,FALSE)</f>
        <v>abhängiges Feld</v>
      </c>
      <c r="CV5" s="206" t="str">
        <f>VLOOKUP(Start!$H$23,Header_Data!$A3:$GZ32,102,FALSE)</f>
        <v>abhängiges Feld</v>
      </c>
      <c r="CW5" s="206" t="str">
        <f>VLOOKUP(Start!$H$23,Header_Data!$A3:$GZ32,102,FALSE)</f>
        <v>abhängiges Feld</v>
      </c>
      <c r="CX5" s="206" t="str">
        <f>VLOOKUP(Start!$H$23,Header_Data!$A3:$GZ32,103,FALSE)</f>
        <v>abhängiges Feld</v>
      </c>
      <c r="CY5" s="206" t="str">
        <f>VLOOKUP(Start!$H$23,Header_Data!$A3:$GZ32,104,FALSE)</f>
        <v>abhängiges Feld</v>
      </c>
      <c r="CZ5" s="206" t="str">
        <f>VLOOKUP(Start!$H$23,Header_Data!$A3:$GZ32,105,FALSE)</f>
        <v>abhängiges Feld</v>
      </c>
      <c r="DA5" s="206" t="str">
        <f>VLOOKUP(Start!$H$23,Header_Data!$A3:$GZ32,106,FALSE)</f>
        <v>Pflichtfeld 
Wenn "J", bitte auch das folgende Feld ausfüllen (graue Spaltenüberschrift).</v>
      </c>
      <c r="DB5" s="206" t="str">
        <f>VLOOKUP(Start!$H$23,Header_Data!$A3:$GZ32,107,FALSE)</f>
        <v>abhängiges Feld</v>
      </c>
      <c r="DC5" s="206" t="str">
        <f>VLOOKUP(Start!$H$23,Header_Data!$A3:$GZ32,108,FALSE)</f>
        <v>Pflichtfeld 
Wenn "J", bitte auch die folgenden Felder ausfüllen (graue Spaltenüberschriften).</v>
      </c>
      <c r="DD5" s="206" t="str">
        <f>VLOOKUP(Start!$H$23,Header_Data!$A3:$GZ32,110,FALSE)</f>
        <v>abhängiges Feld</v>
      </c>
      <c r="DE5" s="206" t="str">
        <f>VLOOKUP(Start!$H$23,Header_Data!$A3:$GZ32,110,FALSE)</f>
        <v>abhängiges Feld</v>
      </c>
      <c r="DF5" s="206" t="str">
        <f>VLOOKUP(Start!$H$23,Header_Data!$A3:$GZ32,111,FALSE)</f>
        <v>Pflichtfeld 
Wenn "J", bitte auch die folgenden Felder ausfüllen (graue Spaltenüberschriften)</v>
      </c>
      <c r="DG5" s="206" t="str">
        <f>VLOOKUP(Start!$H$23,Header_Data!$A3:$GZ32,112,FALSE)</f>
        <v>abhängiges Feld</v>
      </c>
      <c r="DH5" s="206" t="str">
        <f>VLOOKUP(Start!$H$23,Header_Data!$A3:$GZ32,113,FALSE)</f>
        <v>abhängiges Feld</v>
      </c>
      <c r="DI5" s="206" t="str">
        <f>VLOOKUP(Start!$H$23,Header_Data!$A3:$GZ32,114,FALSE)</f>
        <v>abhängiges Feld</v>
      </c>
      <c r="DJ5" s="206" t="str">
        <f>VLOOKUP(Start!$H$23,Header_Data!$A3:$GZ32,115,FALSE)</f>
        <v>abhängiges Feld</v>
      </c>
      <c r="DK5" s="206" t="str">
        <f>VLOOKUP(Start!$H$23,Header_Data!$A3:$GZ32,116,FALSE)</f>
        <v>Pflichtfeld 
Wenn "J", bitte auch die folgenden Felder ausfüllen (graue Spaltenüberschriften).</v>
      </c>
      <c r="DL5" s="206" t="str">
        <f>VLOOKUP(Start!$H$23,Header_Data!$A3:$GZ32,117,FALSE)</f>
        <v>abhängiges Feld</v>
      </c>
      <c r="DM5" s="206" t="str">
        <f>VLOOKUP(Start!$H$23,Header_Data!$A3:$GZ32,118,FALSE)</f>
        <v>abhängiges Feld</v>
      </c>
      <c r="DN5" s="206" t="str">
        <f>VLOOKUP(Start!$H$23,Header_Data!$A3:$GZ32,119,FALSE)</f>
        <v>abhängiges Feld</v>
      </c>
      <c r="DO5" s="206" t="str">
        <f>VLOOKUP(Start!$H$23,Header_Data!$A3:$GZ32,120,FALSE)</f>
        <v>abhängiges Feld</v>
      </c>
      <c r="DP5" s="206" t="str">
        <f>VLOOKUP(Start!$H$23,Header_Data!$A3:$GZ32,121,FALSE)</f>
        <v>Pflichtfeld - Bitte die Felder 34.1 -34.6. komplett ausfüllen, wenn Antwort "N" oder wenn der Artikel auch außerhalb DE zugelassen ist.</v>
      </c>
      <c r="DQ5" s="206" t="str">
        <f>VLOOKUP(Start!$H$23,Header_Data!$A3:$GZ32,122,FALSE)</f>
        <v>abhängiges Feld</v>
      </c>
      <c r="DR5" s="206" t="str">
        <f>VLOOKUP(Start!$H$23,Header_Data!$A3:$GZ32,123,FALSE)</f>
        <v>abhängiges Feld</v>
      </c>
      <c r="DS5" s="206" t="str">
        <f>VLOOKUP(Start!$H$23,Header_Data!$A3:$GZ32,124,FALSE)</f>
        <v>abhängiges Feld</v>
      </c>
      <c r="DT5" s="206" t="str">
        <f>VLOOKUP(Start!$H$23,Header_Data!$A3:$GZ32,125,FALSE)</f>
        <v>abhängiges Feld</v>
      </c>
      <c r="DU5" s="206" t="str">
        <f>VLOOKUP(Start!$H$23,Header_Data!$A3:$GZ32,126,FALSE)</f>
        <v>abhängiges Feld</v>
      </c>
      <c r="DV5" s="206" t="str">
        <f>VLOOKUP(Start!$H$23,Header_Data!$A3:$GZ32,127,FALSE)</f>
        <v>abhängiges Feld</v>
      </c>
      <c r="DW5" s="206" t="str">
        <f>VLOOKUP(Start!$H$23,Header_Data!$A3:$GZ32,128,FALSE)</f>
        <v>abhängiges Feld</v>
      </c>
      <c r="DX5" s="206" t="str">
        <f>VLOOKUP(Start!$H$23,Header_Data!$A3:$GZ32,129,FALSE)</f>
        <v>abhängiges Feld</v>
      </c>
      <c r="DY5" s="206" t="str">
        <f>VLOOKUP(Start!$H$23,Header_Data!$A3:$GZ32,130,FALSE)</f>
        <v>abhängiges Feld</v>
      </c>
      <c r="DZ5" s="206" t="str">
        <f>VLOOKUP(Start!$H$23,Header_Data!$A3:$GZ32,131,FALSE)</f>
        <v>abhängiges Feld</v>
      </c>
      <c r="EA5" s="206" t="str">
        <f>VLOOKUP(Start!$H$23,Header_Data!$A3:$GZ32,132,FALSE)</f>
        <v>abhängiges Feld</v>
      </c>
      <c r="EB5" s="206" t="str">
        <f>VLOOKUP(Start!$H$23,Header_Data!$A3:$GZ32,133,FALSE)</f>
        <v>abhängiges Feld</v>
      </c>
      <c r="EC5" s="206" t="str">
        <f>VLOOKUP(Start!$H$23,Header_Data!$A3:$GZ32,134,FALSE)</f>
        <v>abhängiges Feld</v>
      </c>
      <c r="ED5" s="206" t="str">
        <f>VLOOKUP(Start!$H$23,Header_Data!$A3:$GZ32,135,FALSE)</f>
        <v>abhängiges Feld</v>
      </c>
      <c r="EE5" s="206" t="str">
        <f>VLOOKUP(Start!$H$23,Header_Data!$A3:$GZ32,136,FALSE)</f>
        <v>abhängiges Feld</v>
      </c>
      <c r="EF5" s="206" t="str">
        <f>VLOOKUP(Start!$H$23,Header_Data!$A3:$GZ32,137,FALSE)</f>
        <v>abhängiges Feld</v>
      </c>
      <c r="EG5" s="206" t="str">
        <f>VLOOKUP(Start!$H$23,Header_Data!$A3:$GZ32,138,FALSE)</f>
        <v>abhängiges Feld</v>
      </c>
      <c r="EH5" s="206" t="str">
        <f>VLOOKUP(Start!$H$23,Header_Data!$A3:$GZ32,139,FALSE)</f>
        <v>abhängiges Feld</v>
      </c>
      <c r="EI5" s="206" t="str">
        <f>VLOOKUP(Start!$H$23,Header_Data!$A3:$GZ32,140,FALSE)</f>
        <v>abhängiges Feld</v>
      </c>
      <c r="EJ5" s="206" t="str">
        <f>VLOOKUP(Start!$H$23,Header_Data!$A3:$GZ32,141,FALSE)</f>
        <v>abhängiges Feld</v>
      </c>
      <c r="EK5" s="206" t="str">
        <f>VLOOKUP(Start!$H$23,Header_Data!$A3:$GZ32,142,FALSE)</f>
        <v>abhängiges Feld</v>
      </c>
      <c r="EL5" s="206" t="str">
        <f>VLOOKUP(Start!$H$23,Header_Data!$A3:$GZ32,143,FALSE)</f>
        <v>Pflichtfeld</v>
      </c>
      <c r="EM5" s="206" t="str">
        <f>VLOOKUP(Start!$H$23,Header_Data!$A3:$GZ32,144,FALSE)</f>
        <v>Pflichtfeld</v>
      </c>
      <c r="EN5" s="206" t="str">
        <f>VLOOKUP(Start!$H$23,Header_Data!$A3:$GZ32,145,FALSE)</f>
        <v>Pflichtfeld</v>
      </c>
      <c r="EO5" s="206" t="str">
        <f>VLOOKUP(Start!$H$23,Header_Data!$A3:$GZ32,146,FALSE)</f>
        <v>Pflichtfeld</v>
      </c>
      <c r="EP5" s="206" t="str">
        <f>VLOOKUP(Start!$H$23,Header_Data!$A3:$GZ32,147,FALSE)</f>
        <v>Pflichtfeld</v>
      </c>
      <c r="EQ5" s="206" t="str">
        <f>VLOOKUP(Start!$H$23,Header_Data!$A3:$GZ32,148,FALSE)</f>
        <v>Pflichtfeld</v>
      </c>
      <c r="ER5" s="206" t="str">
        <f>VLOOKUP(Start!$H$23,Header_Data!$A3:$GZ32,149,FALSE)</f>
        <v>Pflichtfeld</v>
      </c>
      <c r="ES5" s="206" t="str">
        <f>VLOOKUP(Start!$H$23,Header_Data!$A3:$GZ32,150,FALSE)</f>
        <v>Pflichtfeld 
Wenn "J", bitte die folgenden Felder (graue Spaltenüberschriften) ausfüllen.</v>
      </c>
      <c r="ET5" s="206" t="str">
        <f>VLOOKUP(Start!$H$23,Header_Data!$A3:$GZ32,151,FALSE)</f>
        <v>abhängiges Feld</v>
      </c>
      <c r="EU5" s="206" t="str">
        <f>VLOOKUP(Start!$H$23,Header_Data!$A3:$GZ32,152,FALSE)</f>
        <v>abhängiges Feld</v>
      </c>
      <c r="EV5" s="206" t="str">
        <f>VLOOKUP(Start!$H$23,Header_Data!$A3:$GZ32,153,FALSE)</f>
        <v>abhängiges Feld</v>
      </c>
      <c r="EW5" s="206" t="str">
        <f>VLOOKUP(Start!$H$23,Header_Data!$A3:$GZ32,154,FALSE)</f>
        <v>abhängiges Feld</v>
      </c>
      <c r="EX5" s="206" t="str">
        <f>VLOOKUP(Start!$H$23,Header_Data!$A3:$GZ32,155,FALSE)</f>
        <v>abhängiges Feld</v>
      </c>
      <c r="EY5" s="206" t="str">
        <f>VLOOKUP(Start!$H$23,Header_Data!$A3:$GZ32,156,FALSE)</f>
        <v>abhängiges Feld</v>
      </c>
      <c r="EZ5" s="206" t="str">
        <f>VLOOKUP(Start!$H$23,Header_Data!$A3:$GZ32,157,FALSE)</f>
        <v>abhängiges Feld</v>
      </c>
      <c r="FA5" s="206" t="str">
        <f>VLOOKUP(Start!$H$23,Header_Data!$A3:$GZ32,158,FALSE)</f>
        <v>Pflichtfeld 
Wenn "J", bitte auch die folgenden Felder ausfüllen (graue Spaltenüberschriften).</v>
      </c>
      <c r="FB5" s="206" t="str">
        <f>VLOOKUP(Start!$H$23,Header_Data!$A3:$GZ32,159,FALSE)</f>
        <v>abhängiges Feld</v>
      </c>
      <c r="FC5" s="206" t="str">
        <f>VLOOKUP(Start!$H$23,Header_Data!$A3:$GZ32,160,FALSE)</f>
        <v>abhängiges Feld</v>
      </c>
      <c r="FD5" s="206" t="str">
        <f>VLOOKUP(Start!$H$23,Header_Data!$A3:$GZ32,161,FALSE)</f>
        <v>abhängiges Feld</v>
      </c>
      <c r="FE5" s="206" t="str">
        <f>VLOOKUP(Start!$H$23,Header_Data!$A3:$GZ32,162,FALSE)</f>
        <v>Pflichtfeld</v>
      </c>
      <c r="FF5" s="206" t="str">
        <f>VLOOKUP(Start!$H$23,Header_Data!$A3:$GZ32,163,FALSE)</f>
        <v>Pflichtfeld</v>
      </c>
      <c r="FG5" s="206" t="str">
        <f>VLOOKUP(Start!$H$23,Header_Data!$A3:$GZ32,164,FALSE)</f>
        <v>Pflichtfeld</v>
      </c>
      <c r="FH5" s="206" t="str">
        <f>VLOOKUP(Start!$H$23,Header_Data!$A3:$GZ32,165,FALSE)</f>
        <v>Pflichtfeld</v>
      </c>
      <c r="FI5" s="206" t="str">
        <f>VLOOKUP(Start!$H$23,Header_Data!$A3:$GZ32,166,FALSE)</f>
        <v>Pflichtfeld</v>
      </c>
      <c r="FJ5" s="206" t="str">
        <f>VLOOKUP(Start!$H$23,Header_Data!$A3:$GZ32,167,FALSE)</f>
        <v>Kannfeld</v>
      </c>
      <c r="FK5" s="206" t="str">
        <f>VLOOKUP(Start!$H$23,Header_Data!$A3:$GZ32,168,FALSE)</f>
        <v>abhängiges Feld</v>
      </c>
      <c r="FL5" s="206" t="str">
        <f>VLOOKUP(Start!$H$23,Header_Data!$A3:$GZ32,169,FALSE)</f>
        <v>Pflichtfeld</v>
      </c>
      <c r="FM5" s="206" t="str">
        <f>VLOOKUP(Start!$H$23,Header_Data!$A3:$GZ32,170,FALSE)</f>
        <v>Pflichtfeld
Bitte Besonderheiten aufführen bzw. bei Anhängen die Dateinamen in den folgenden Feldern eintragen (graue Spaltenüberschriften).</v>
      </c>
      <c r="FN5" s="206" t="str">
        <f>VLOOKUP(Start!$H$23,Header_Data!$A3:$GZ32,171,FALSE)</f>
        <v>abhängiges Feld, wenn ein SET vorliegt, bitte alle relvanten SDB durch "/" getrennt aufführen</v>
      </c>
      <c r="FO5" s="206" t="str">
        <f>VLOOKUP(Start!$H$23,Header_Data!$A3:$GZ32,172,FALSE)</f>
        <v>abhängiges Feld, wenn ein SET vorliegt, bitte alle relvanten Bilder durch "/" getrennt aufführen</v>
      </c>
      <c r="FP5" s="206" t="str">
        <f>VLOOKUP(Start!$H$23,Header_Data!$A3:$GZ32,173,FALSE)</f>
        <v>abhängiges Feld, wenn ein SET vorliegt, bitte Name der Stückliste oder Produktbeschreibung angeben</v>
      </c>
      <c r="FQ5" s="206" t="str">
        <f>VLOOKUP(Start!$H$23,Header_Data!$A3:$GZ32,174,FALSE)</f>
        <v>abhängiges Feld</v>
      </c>
      <c r="FR5" s="206" t="str">
        <f>VLOOKUP(Start!$H$23,Header_Data!$A3:$GZ32,175,FALSE)</f>
        <v>abhängiges Feld</v>
      </c>
      <c r="FS5" s="206" t="str">
        <f>VLOOKUP(Start!$H$23,Header_Data!$A3:$GZ32,176,FALSE)</f>
        <v>Pflichtfeld 
Wenn "J", bitte auch die folgenden Felder ausfüllen (graue Spaltenüberschriften).</v>
      </c>
      <c r="FT5" s="206" t="str">
        <f>VLOOKUP(Start!$H$23,Header_Data!$A3:$GZ32,177,FALSE)</f>
        <v>abhängiges Feld</v>
      </c>
      <c r="FU5" s="206" t="str">
        <f>VLOOKUP(Start!$H$23,Header_Data!$A3:$GZ32,178,FALSE)</f>
        <v>Pflichtfeld 
Wenn "J", bitte auch die folgenden Felder ausfüllen (graue Spaltenüberschriften).</v>
      </c>
      <c r="FV5" s="206" t="str">
        <f>VLOOKUP(Start!$H$23,Header_Data!$A3:$GZ32,179,FALSE)</f>
        <v>abhängiges Feld</v>
      </c>
      <c r="FW5" s="206" t="str">
        <f>VLOOKUP(Start!$H$23,Header_Data!$A3:$GZ32,180,FALSE)</f>
        <v>Pflichtfeld 
Wenn "J", bitte in 47.1. alle relevanten SDB aufführen und in 47.3. Name der Stückliste/ Produktbeschreibung angeben</v>
      </c>
      <c r="FX5" s="206" t="s">
        <v>41</v>
      </c>
      <c r="FY5" s="206" t="str">
        <f>VLOOKUP(Start!$H$23,Header_Data!$A3:$GZ32,181,FALSE)</f>
        <v>abhängiges Feld</v>
      </c>
      <c r="FZ5" s="206" t="str">
        <f>VLOOKUP(Start!$H$23,Header_Data!$A3:$GZ32,182,FALSE)</f>
        <v>abhängiges Feld</v>
      </c>
      <c r="GA5" s="206" t="str">
        <f>VLOOKUP(Start!$H$23,Header_Data!$A3:$GZ32,183,FALSE)</f>
        <v>abhängiges Feld</v>
      </c>
      <c r="GB5" s="206" t="str">
        <f>VLOOKUP(Start!$H$23,Header_Data!$A3:$GZ32,184,FALSE)</f>
        <v>abhängiges Feld</v>
      </c>
      <c r="GC5" s="206" t="str">
        <f>VLOOKUP(Start!$H$23,Header_Data!$A3:$GZ32,185,FALSE)</f>
        <v>abhängiges Feld</v>
      </c>
      <c r="GD5" s="206" t="str">
        <f>VLOOKUP(Start!$H$23,Header_Data!$A3:$GZ32,186,FALSE)</f>
        <v>abhängiges Feld</v>
      </c>
    </row>
    <row r="6" spans="1:186" s="109" customFormat="1" ht="17.25" customHeight="1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</row>
    <row r="7" spans="1:186" x14ac:dyDescent="0.3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12"/>
      <c r="GA7" s="112"/>
      <c r="GB7" s="112"/>
      <c r="GC7" s="112"/>
      <c r="GD7" s="112"/>
    </row>
    <row r="8" spans="1:186" x14ac:dyDescent="0.3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10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12"/>
      <c r="GA8" s="113"/>
      <c r="GB8" s="112"/>
      <c r="GC8" s="112"/>
      <c r="GD8" s="112"/>
    </row>
    <row r="9" spans="1:186" x14ac:dyDescent="0.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12"/>
      <c r="GA9" s="112"/>
      <c r="GB9" s="112"/>
      <c r="GC9" s="112"/>
      <c r="GD9" s="112"/>
    </row>
    <row r="10" spans="1:186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10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12"/>
      <c r="GA10" s="112"/>
      <c r="GB10" s="112"/>
      <c r="GC10" s="112"/>
      <c r="GD10" s="112"/>
    </row>
    <row r="11" spans="1:186" x14ac:dyDescent="0.3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12"/>
      <c r="GA11" s="112"/>
      <c r="GB11" s="112"/>
      <c r="GC11" s="112"/>
      <c r="GD11" s="112"/>
    </row>
    <row r="12" spans="1:186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12"/>
      <c r="GA12" s="112"/>
      <c r="GB12" s="112"/>
      <c r="GC12" s="112"/>
      <c r="GD12" s="112"/>
    </row>
    <row r="13" spans="1:186" x14ac:dyDescent="0.3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12"/>
      <c r="GA13" s="112"/>
      <c r="GB13" s="112"/>
      <c r="GC13" s="112"/>
      <c r="GD13" s="112"/>
    </row>
    <row r="14" spans="1:186" x14ac:dyDescent="0.3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12"/>
      <c r="GA14" s="112"/>
      <c r="GB14" s="112"/>
      <c r="GC14" s="112"/>
      <c r="GD14" s="112"/>
    </row>
    <row r="15" spans="1:186" x14ac:dyDescent="0.3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12"/>
      <c r="GA15" s="112"/>
      <c r="GB15" s="112"/>
      <c r="GC15" s="112"/>
      <c r="GD15" s="112"/>
    </row>
    <row r="16" spans="1:186" x14ac:dyDescent="0.3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12"/>
      <c r="GA16" s="112"/>
      <c r="GB16" s="112"/>
      <c r="GC16" s="112"/>
      <c r="GD16" s="112"/>
    </row>
    <row r="17" spans="1:186" x14ac:dyDescent="0.3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12"/>
      <c r="GA17" s="112"/>
      <c r="GB17" s="112"/>
      <c r="GC17" s="112"/>
      <c r="GD17" s="112"/>
    </row>
  </sheetData>
  <sheetProtection sheet="1" objects="1" scenarios="1" selectLockedCells="1"/>
  <mergeCells count="164">
    <mergeCell ref="FZ2:FZ3"/>
    <mergeCell ref="GA2:GA3"/>
    <mergeCell ref="GB2:GB3"/>
    <mergeCell ref="FU2:FU3"/>
    <mergeCell ref="FV2:FV3"/>
    <mergeCell ref="AP4:AS4"/>
    <mergeCell ref="CT4:CV4"/>
    <mergeCell ref="DQ4:DV4"/>
    <mergeCell ref="DX4:EC4"/>
    <mergeCell ref="EE4:EJ4"/>
    <mergeCell ref="EN4:EP4"/>
    <mergeCell ref="EQ4:ER4"/>
    <mergeCell ref="EV4:EX4"/>
    <mergeCell ref="FO2:FO3"/>
    <mergeCell ref="FP2:FP3"/>
    <mergeCell ref="FQ2:FQ3"/>
    <mergeCell ref="FR2:FR3"/>
    <mergeCell ref="FS2:FS3"/>
    <mergeCell ref="FT2:FT3"/>
    <mergeCell ref="FI2:FI3"/>
    <mergeCell ref="EY4:EZ4"/>
    <mergeCell ref="FN4:FR4"/>
    <mergeCell ref="FJ2:FJ3"/>
    <mergeCell ref="FK2:FK3"/>
    <mergeCell ref="FL2:FL3"/>
    <mergeCell ref="FM2:FM3"/>
    <mergeCell ref="FN2:FN3"/>
    <mergeCell ref="FC2:FC3"/>
    <mergeCell ref="FD2:FD3"/>
    <mergeCell ref="FE2:FE3"/>
    <mergeCell ref="FF2:FF3"/>
    <mergeCell ref="FG2:FG3"/>
    <mergeCell ref="FH2:FH3"/>
    <mergeCell ref="ES2:ES3"/>
    <mergeCell ref="ET2:ET3"/>
    <mergeCell ref="EU2:EU3"/>
    <mergeCell ref="EV2:EZ2"/>
    <mergeCell ref="FA2:FA3"/>
    <mergeCell ref="FB2:FB3"/>
    <mergeCell ref="ED2:ED3"/>
    <mergeCell ref="EE2:EJ2"/>
    <mergeCell ref="EK2:EK3"/>
    <mergeCell ref="EL2:EL3"/>
    <mergeCell ref="EM2:EM3"/>
    <mergeCell ref="EN2:ER2"/>
    <mergeCell ref="DN2:DN3"/>
    <mergeCell ref="DO2:DO3"/>
    <mergeCell ref="DP2:DP3"/>
    <mergeCell ref="DQ2:DV2"/>
    <mergeCell ref="DW2:DW3"/>
    <mergeCell ref="DX2:EC2"/>
    <mergeCell ref="DH2:DH3"/>
    <mergeCell ref="DI2:DI3"/>
    <mergeCell ref="DJ2:DJ3"/>
    <mergeCell ref="DK2:DK3"/>
    <mergeCell ref="DL2:DL3"/>
    <mergeCell ref="DM2:DM3"/>
    <mergeCell ref="CY2:CY3"/>
    <mergeCell ref="CZ2:CZ3"/>
    <mergeCell ref="DB2:DB3"/>
    <mergeCell ref="DD2:DD3"/>
    <mergeCell ref="DE2:DE3"/>
    <mergeCell ref="DG2:DG3"/>
    <mergeCell ref="CQ2:CQ3"/>
    <mergeCell ref="CR2:CR3"/>
    <mergeCell ref="CS2:CS3"/>
    <mergeCell ref="CT2:CV2"/>
    <mergeCell ref="CW2:CW3"/>
    <mergeCell ref="CX2:CX3"/>
    <mergeCell ref="CK2:CK3"/>
    <mergeCell ref="CL2:CL3"/>
    <mergeCell ref="CM2:CM3"/>
    <mergeCell ref="CN2:CN3"/>
    <mergeCell ref="CO2:CO3"/>
    <mergeCell ref="CP2:CP3"/>
    <mergeCell ref="CE2:CE3"/>
    <mergeCell ref="CF2:CF3"/>
    <mergeCell ref="CG2:CG3"/>
    <mergeCell ref="CH2:CH3"/>
    <mergeCell ref="CI2:CI3"/>
    <mergeCell ref="CJ2:CJ3"/>
    <mergeCell ref="BY2:BY3"/>
    <mergeCell ref="BZ2:BZ3"/>
    <mergeCell ref="CA2:CA3"/>
    <mergeCell ref="CB2:CB3"/>
    <mergeCell ref="CC2:CC3"/>
    <mergeCell ref="CD2:CD3"/>
    <mergeCell ref="BS2:BS3"/>
    <mergeCell ref="BT2:BT3"/>
    <mergeCell ref="BU2:BU3"/>
    <mergeCell ref="BV2:BV3"/>
    <mergeCell ref="BW2:BW3"/>
    <mergeCell ref="BX2:BX3"/>
    <mergeCell ref="BM2:BM3"/>
    <mergeCell ref="BN2:BN3"/>
    <mergeCell ref="BO2:BO3"/>
    <mergeCell ref="BP2:BP3"/>
    <mergeCell ref="BQ2:BQ3"/>
    <mergeCell ref="BR2:BR3"/>
    <mergeCell ref="BG2:BG3"/>
    <mergeCell ref="BH2:BH3"/>
    <mergeCell ref="BI2:BI3"/>
    <mergeCell ref="BJ2:BJ3"/>
    <mergeCell ref="BK2:BK3"/>
    <mergeCell ref="BL2:BL3"/>
    <mergeCell ref="BA2:BA3"/>
    <mergeCell ref="BB2:BB3"/>
    <mergeCell ref="BC2:BC3"/>
    <mergeCell ref="BD2:BD3"/>
    <mergeCell ref="BE2:BE3"/>
    <mergeCell ref="BF2:BF3"/>
    <mergeCell ref="AU2:AU3"/>
    <mergeCell ref="AV2:AV3"/>
    <mergeCell ref="AW2:AW3"/>
    <mergeCell ref="AX2:AX3"/>
    <mergeCell ref="AY2:AY3"/>
    <mergeCell ref="AZ2:AZ3"/>
    <mergeCell ref="Y2:Y3"/>
    <mergeCell ref="Z2:Z3"/>
    <mergeCell ref="R2:R3"/>
    <mergeCell ref="AM2:AM3"/>
    <mergeCell ref="AN2:AN3"/>
    <mergeCell ref="AO2:AO3"/>
    <mergeCell ref="AP2:AQ2"/>
    <mergeCell ref="AR2:AS2"/>
    <mergeCell ref="AT2:AT3"/>
    <mergeCell ref="S2:S3"/>
    <mergeCell ref="T2:T3"/>
    <mergeCell ref="AG2:AG3"/>
    <mergeCell ref="AH2:AH3"/>
    <mergeCell ref="AI2:AI3"/>
    <mergeCell ref="AJ2:AJ3"/>
    <mergeCell ref="AK2:AK3"/>
    <mergeCell ref="AL2:AL3"/>
    <mergeCell ref="AA2:AA3"/>
    <mergeCell ref="AB2:AB3"/>
    <mergeCell ref="AC2:AC3"/>
    <mergeCell ref="AD2:AD3"/>
    <mergeCell ref="AE2:AE3"/>
    <mergeCell ref="AF2:AF3"/>
    <mergeCell ref="GD2:GD3"/>
    <mergeCell ref="FX2:FX3"/>
    <mergeCell ref="GC2:GC3"/>
    <mergeCell ref="FW2:FW3"/>
    <mergeCell ref="FY2:FY3"/>
    <mergeCell ref="A2:A3"/>
    <mergeCell ref="B2:D2"/>
    <mergeCell ref="E2:E3"/>
    <mergeCell ref="F2:F3"/>
    <mergeCell ref="G2:G3"/>
    <mergeCell ref="H2:H3"/>
    <mergeCell ref="U2:U3"/>
    <mergeCell ref="V2:V3"/>
    <mergeCell ref="W2:W3"/>
    <mergeCell ref="O2:O3"/>
    <mergeCell ref="P2:P3"/>
    <mergeCell ref="Q2:Q3"/>
    <mergeCell ref="I2:I3"/>
    <mergeCell ref="J2:J3"/>
    <mergeCell ref="K2:K3"/>
    <mergeCell ref="L2:L3"/>
    <mergeCell ref="M2:M3"/>
    <mergeCell ref="N2:N3"/>
    <mergeCell ref="X2:X3"/>
  </mergeCells>
  <dataValidations count="26">
    <dataValidation type="whole" allowBlank="1" showInputMessage="1" showErrorMessage="1" errorTitle="Falsche Eingabe" error="Bitte tragen Sie eine Zahl ein." sqref="C1:C1048576 CX1:CY1048576 DB1:DB1048576 BX1:BX1048576 BZ1:CF1048576 CH1:CH1048576 CL1:CL1048576 CT1:CV1048576" xr:uid="{8C910E69-B519-4F0D-9576-5B8AAED1B312}">
      <formula1>0</formula1>
      <formula2>9.99999999999999E+47</formula2>
    </dataValidation>
    <dataValidation type="date" allowBlank="1" showInputMessage="1" showErrorMessage="1" errorTitle="Falsche Eingabe" error="Bitte tragen Sie ein gültiges Datum ein." sqref="E1:E1048576 H1:I1048576 L1:L1048576 BT1:BT1048576 GB1:GB1048576" xr:uid="{BB25A57D-7FC4-491B-B0F2-49C4EA637889}">
      <formula1>18264</formula1>
      <formula2>2958465</formula2>
    </dataValidation>
    <dataValidation type="list" allowBlank="1" showInputMessage="1" showErrorMessage="1" errorTitle="Falsche Eingabe" error="Bitte tragen Sie ein N (Neuanlage), ein A (Änderung) oder ein Z (nicht mehr lieferbar) ein." sqref="F1:F1048576" xr:uid="{856D9303-ACC1-45CA-99AC-5B7F8A02CB4C}">
      <formula1>"N,A,Z"</formula1>
    </dataValidation>
    <dataValidation type="list" allowBlank="1" showInputMessage="1" showErrorMessage="1" errorTitle="Falsche Eingabe" error="Bitte tragen Sie Beutel, Dose, Eimer, Flasche, Kanister, Karton, Muster, Packung, Rolle, Set, Spender, Spritze, Stück, Tube, Kit, Bundle, Box, Blister ein." sqref="J1:J5" xr:uid="{49F18838-1151-4951-9CA0-17BFD01A5FB8}">
      <formula1>"Beutel,Dose,Eimer,Flasche,Kanister,Karton,Muster,Packung,Rolle,Set,Spender,Spritze,Stück,Tube,Kit,Bundle,Box,Blister"</formula1>
    </dataValidation>
    <dataValidation type="list" allowBlank="1" showInputMessage="1" showErrorMessage="1" errorTitle="Falsche Eingabe" error="Bitte tragen Sie ein J oder N ein." sqref="K1:K1048576 U1:U1048576 AJ1:AK1048576 AM1:AM1048576 AO1:AO1048576 AU1:BE1048576 BH1:BH1048576 BJ1:BN1048576 BP1:BQ1048576 BS1:BS1048576 BU1:BW1048576 CK1:CK1048576 CM1:CS1048576 CZ1:DA1048576 DC1:DG1048576 DK1:DK1048576 DP1:DP1048576 EK1:EK1048576 DW1:DW1048576 ED1:ED1048576 ES1:ET1048576 FA1:FA1048576 FF1:FF1048576 FI1:FI1048576 FS1:FS1048576 FU1:FU1048576 FW1:FW1048576" xr:uid="{5B3FCE88-837B-482E-BEB4-5B3DB028A603}">
      <formula1>"J,N"</formula1>
    </dataValidation>
    <dataValidation type="list" allowBlank="1" showInputMessage="1" showErrorMessage="1" errorTitle="Falsche Eingabe" error="Bitte tragen Sie N, i oder o ein." sqref="T1:T1048576" xr:uid="{F8092435-C3BA-4745-80F4-7F27F38F4A74}">
      <formula1>"N,i,o"</formula1>
    </dataValidation>
    <dataValidation type="list" allowBlank="1" showInputMessage="1" showErrorMessage="1" errorTitle="Falsche Eingabe" error="Bitte tragen Sie DENT, MED oder VET ein." sqref="AH1:AH1048576" xr:uid="{120223ED-5004-4AB1-B122-6B751C08C177}">
      <formula1>"DENT,MED,VET"</formula1>
    </dataValidation>
    <dataValidation type="list" allowBlank="1" showInputMessage="1" showErrorMessage="1" errorTitle="Falsche Eingabe" error="Bitte tragen Sie P, L oder B ein." sqref="AI1:AI1048576" xr:uid="{66364ABA-FC5E-4D8F-BD40-F4FF6893F437}">
      <formula1>"P,L,B"</formula1>
    </dataValidation>
    <dataValidation type="whole" allowBlank="1" showInputMessage="1" showErrorMessage="1" errorTitle="Falsche Eingabe" error="Bitte tragen Sie eine Zahl ein." sqref="AP1:AS1048576" xr:uid="{DE0A312F-309A-4765-9F3E-F189A36E6F40}">
      <formula1>-500</formula1>
      <formula2>500</formula2>
    </dataValidation>
    <dataValidation type="whole" allowBlank="1" showInputMessage="1" showErrorMessage="1" errorTitle="Falsche Eingabe" error="Bitte tragen Sie eine Zahl ein." sqref="AT1:AT1048576 EL1:EL1048576 EN1:EP1048576 EV1:EX1048576" xr:uid="{60651B0D-DD7C-4B34-A559-729D6AB10B47}">
      <formula1>0</formula1>
      <formula2>9.99999999999999E+46</formula2>
    </dataValidation>
    <dataValidation type="list" allowBlank="1" showInputMessage="1" showErrorMessage="1" errorTitle="Falsche Eingabe" error="Bitte tragen Sie I, Is, Im, Ir, IIa, IIb, III oder IVD ein." sqref="BI1:BI1048576" xr:uid="{16C1BBF7-828E-4241-9677-E8D2C57B46CF}">
      <formula1>"I,Is,Im,Ir,Iia,Iib,III,IVD "</formula1>
    </dataValidation>
    <dataValidation type="list" allowBlank="1" showInputMessage="1" showErrorMessage="1" errorTitle="Falsche Eingabe" error="Bitte tragen Sie Fass, Kanister, Kiste, Sack, Kombinationsverpackung oder Feinstblechverpackung" sqref="CJ1:CJ1048576" xr:uid="{164D58C6-F17F-4FED-8D59-3C1A741F4E63}">
      <formula1>"Fass,Kanister,Kiste,Sack,Kombinationsverpackung,Feinstblechverpackung"</formula1>
    </dataValidation>
    <dataValidation type="decimal" allowBlank="1" showInputMessage="1" showErrorMessage="1" errorTitle="Falsche Eingabe " error="Bitte tragen Sie eine Zahl ein." sqref="CW1:CW1048576" xr:uid="{D04F26BC-64EB-4081-A50B-F8105578CBE1}">
      <formula1>0</formula1>
      <formula2>9.99999999999999E+48</formula2>
    </dataValidation>
    <dataValidation type="whole" allowBlank="1" showInputMessage="1" showErrorMessage="1" errorTitle="Keine Eingabe" error="Bitte tragen Sie eine Zahl ein." sqref="DI1:DJ1048576 DL1:DO1048576" xr:uid="{1D47BFD5-9085-4D35-9BAA-48196EA88DF8}">
      <formula1>0</formula1>
      <formula2>9.99999999999999E+45</formula2>
    </dataValidation>
    <dataValidation type="list" allowBlank="1" showInputMessage="1" showErrorMessage="1" errorTitle="Keine Eingabe" error="Bitte tragen Sie LiIon, LiMetall, Blei, NiCa ein." sqref="DH1:DH1048576" xr:uid="{BF93C27F-C128-4D64-BFA1-BC2229505D86}">
      <formula1>"LiIon,LiMetall,Blei,NiCa"</formula1>
    </dataValidation>
    <dataValidation type="decimal" allowBlank="1" showInputMessage="1" showErrorMessage="1" errorTitle="Falsche Eingabe" error="Bitte tragen Sie eine Zahl ein." sqref="DQ1:DV1048576 DX1:EC1048576 EE1:EJ1048576" xr:uid="{C0D5D96C-EA14-40E1-B48D-67940D60D4F3}">
      <formula1>0</formula1>
      <formula2>9.99999999999999E+46</formula2>
    </dataValidation>
    <dataValidation type="decimal" allowBlank="1" showInputMessage="1" showErrorMessage="1" errorTitle="Falsche Eingabe" error="Bitte tragen Sie eine Zahl ein." sqref="EQ1:ER1048576 EY1:EZ1048576" xr:uid="{308C7EB1-8AF3-4821-81DD-78D500C61C6E}">
      <formula1>0</formula1>
      <formula2>9.99999999999999E+45</formula2>
    </dataValidation>
    <dataValidation type="whole" allowBlank="1" showInputMessage="1" showErrorMessage="1" errorTitle="Falsche Eingabe" error="Bitte tragen Sie eine Zahl ein." sqref="FC1:FE1048576" xr:uid="{AD5688D0-3C15-451D-9A72-5DB1F182DC7A}">
      <formula1>0</formula1>
      <formula2>9.99999999999999E+45</formula2>
    </dataValidation>
    <dataValidation type="decimal" allowBlank="1" showInputMessage="1" showErrorMessage="1" errorTitle="Falsche Eingabe" error="Bitte tragen Sie eine Zahl ein." sqref="FJ1:FJ1048576" xr:uid="{39271941-AB05-49BD-AEBE-8EFD440E2F14}">
      <formula1>0</formula1>
      <formula2>9.99999999999999E+48</formula2>
    </dataValidation>
    <dataValidation type="list" allowBlank="1" showInputMessage="1" showErrorMessage="1" errorTitle="Falsche Eingabe" error="Bitte tragen Sie I, II oder III ein." sqref="FV1:FV1048576" xr:uid="{B3FF9991-722C-48E6-B224-389F88E0B565}">
      <formula1>"I,II,III"</formula1>
    </dataValidation>
    <dataValidation type="list" allowBlank="1" showInputMessage="1" showErrorMessage="1" errorTitle="Falsche Eingabe" error="Bitte tragen Sie MDD oder MDR ein." sqref="FY1:FY1048576" xr:uid="{3FF2C425-77A9-4F32-9815-ACAC971DC623}">
      <formula1>"MDD,MDR"</formula1>
    </dataValidation>
    <dataValidation allowBlank="1" showInputMessage="1" showErrorMessage="1" errorTitle="Falsche Eingabe" error="Bitte tragen Sie eine Zahl ein." sqref="O1:O1048576 R1:R1048576 V1:AE1048576 BO1:BO1048576" xr:uid="{F401E8BC-EE2E-4651-BA58-6770A0A72248}"/>
    <dataValidation allowBlank="1" showInputMessage="1" showErrorMessage="1" errorTitle="Falsche Eingabe" error="Bitte tragen Sie ein gültiges Datum ein." sqref="GC4:GC5 GD5" xr:uid="{257208CA-3815-425F-8153-CE43ECFA73DC}"/>
    <dataValidation allowBlank="1" showInputMessage="1" showErrorMessage="1" errorTitle="Falsche Eingabe" error="Bitte tragen Sie ein J oder N ein." sqref="FX1:FX1048576" xr:uid="{2EB1193D-CDF0-4D0A-834D-FC3964C38012}"/>
    <dataValidation type="list" allowBlank="1" showInputMessage="1" showErrorMessage="1" errorTitle="Falsche Eingabe" error="Bitte tragen Sie ein J oder N ein" sqref="GD6:GD1048576" xr:uid="{6A8403DF-3C7D-4BB4-9DFE-F6137FEC5A83}">
      <formula1>"J,N"</formula1>
    </dataValidation>
    <dataValidation type="list" allowBlank="1" showInputMessage="1" showErrorMessage="1" sqref="J6:J1048559 J1048561:J1048576 J1048560" xr:uid="{54BD8CF9-F8CC-4E8A-A2E7-8C266D28CFD8}">
      <formula1>"Beutel,Dose,Eimer,Flasche,Kanister,Karton,Muster,Packung,Rolle,Set,Spender,Spritze,Stück,Tube,Kit,Bundle,Box,Blister,Nachfüllpackung,Großpackung"</formula1>
    </dataValidation>
  </dataValidations>
  <pageMargins left="0.70866141732283472" right="0.70866141732283472" top="0.78740157480314965" bottom="0.78740157480314965" header="0.31496062992125984" footer="0.31496062992125984"/>
  <pageSetup paperSize="8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GI13"/>
  <sheetViews>
    <sheetView topLeftCell="A3" zoomScale="80" zoomScaleNormal="80" workbookViewId="0">
      <selection activeCell="K6" sqref="K6"/>
    </sheetView>
  </sheetViews>
  <sheetFormatPr baseColWidth="10" defaultColWidth="11.44140625" defaultRowHeight="14.4" outlineLevelRow="2" x14ac:dyDescent="0.3"/>
  <cols>
    <col min="1" max="1" width="9.109375" customWidth="1"/>
    <col min="2" max="2" width="16.5546875" customWidth="1"/>
    <col min="3" max="5" width="17.5546875" customWidth="1"/>
    <col min="6" max="6" width="18.88671875" customWidth="1"/>
    <col min="7" max="7" width="22.109375" customWidth="1"/>
    <col min="8" max="8" width="20.44140625" customWidth="1"/>
    <col min="9" max="9" width="25.109375" customWidth="1"/>
    <col min="10" max="10" width="18" customWidth="1"/>
    <col min="11" max="11" width="27" customWidth="1"/>
    <col min="12" max="12" width="19.88671875" customWidth="1"/>
    <col min="13" max="13" width="14.5546875" customWidth="1"/>
    <col min="14" max="14" width="21.44140625" customWidth="1"/>
    <col min="15" max="15" width="27.109375" customWidth="1"/>
    <col min="16" max="16" width="34.44140625" customWidth="1"/>
    <col min="17" max="17" width="60.44140625" customWidth="1"/>
    <col min="18" max="18" width="23" customWidth="1"/>
    <col min="19" max="19" width="20.5546875" customWidth="1"/>
    <col min="20" max="20" width="39.5546875" customWidth="1"/>
    <col min="21" max="21" width="17" customWidth="1"/>
    <col min="22" max="22" width="18.88671875" customWidth="1"/>
    <col min="23" max="23" width="18.5546875" customWidth="1"/>
    <col min="24" max="30" width="15.5546875" customWidth="1"/>
    <col min="31" max="31" width="10.5546875" customWidth="1"/>
    <col min="32" max="32" width="16.5546875" customWidth="1"/>
    <col min="33" max="33" width="20.109375" customWidth="1"/>
    <col min="34" max="34" width="15.5546875" customWidth="1"/>
    <col min="35" max="35" width="29.5546875" customWidth="1"/>
    <col min="36" max="36" width="26" customWidth="1" collapsed="1"/>
    <col min="37" max="37" width="21" customWidth="1"/>
    <col min="38" max="38" width="29.5546875" customWidth="1"/>
    <col min="39" max="39" width="35.5546875" customWidth="1"/>
    <col min="40" max="40" width="22.44140625" customWidth="1"/>
    <col min="41" max="41" width="29.44140625" customWidth="1"/>
    <col min="42" max="42" width="26.88671875" customWidth="1"/>
    <col min="43" max="43" width="12.44140625" customWidth="1"/>
    <col min="44" max="44" width="11.5546875" customWidth="1"/>
    <col min="45" max="45" width="11.44140625" customWidth="1"/>
    <col min="46" max="46" width="10.44140625" customWidth="1"/>
    <col min="47" max="47" width="22.88671875" customWidth="1"/>
    <col min="48" max="48" width="17.5546875" customWidth="1"/>
    <col min="49" max="49" width="22.5546875" customWidth="1"/>
    <col min="50" max="51" width="17.88671875" customWidth="1"/>
    <col min="52" max="52" width="23.5546875" customWidth="1"/>
    <col min="53" max="54" width="20" customWidth="1"/>
    <col min="55" max="55" width="16.44140625" customWidth="1"/>
    <col min="56" max="56" width="17.44140625" customWidth="1"/>
    <col min="57" max="57" width="25" customWidth="1"/>
    <col min="58" max="58" width="25.88671875" customWidth="1"/>
    <col min="59" max="59" width="30.88671875" customWidth="1"/>
    <col min="60" max="60" width="27" customWidth="1"/>
    <col min="61" max="61" width="21.44140625" customWidth="1"/>
    <col min="62" max="62" width="24" customWidth="1"/>
    <col min="63" max="63" width="30.5546875" customWidth="1"/>
    <col min="64" max="64" width="29" customWidth="1"/>
    <col min="65" max="65" width="23.5546875" customWidth="1"/>
    <col min="66" max="66" width="29.5546875" customWidth="1"/>
    <col min="67" max="67" width="23.5546875" customWidth="1"/>
    <col min="68" max="68" width="29.5546875" customWidth="1"/>
    <col min="69" max="69" width="16.109375" customWidth="1"/>
    <col min="70" max="70" width="20" customWidth="1"/>
    <col min="71" max="71" width="19.5546875" customWidth="1"/>
    <col min="72" max="72" width="25.5546875" customWidth="1"/>
    <col min="73" max="73" width="27.44140625" customWidth="1"/>
    <col min="74" max="74" width="26.88671875" customWidth="1"/>
    <col min="75" max="76" width="18.5546875" customWidth="1"/>
    <col min="77" max="77" width="17.5546875" customWidth="1"/>
    <col min="78" max="78" width="20.5546875" customWidth="1"/>
    <col min="79" max="79" width="13.88671875" customWidth="1"/>
    <col min="80" max="80" width="23.44140625" customWidth="1"/>
    <col min="81" max="81" width="20.5546875" customWidth="1"/>
    <col min="82" max="82" width="19.5546875" customWidth="1"/>
    <col min="83" max="83" width="20.44140625" customWidth="1"/>
    <col min="84" max="84" width="16.88671875" customWidth="1"/>
    <col min="85" max="85" width="26" customWidth="1"/>
    <col min="86" max="86" width="26.44140625" customWidth="1"/>
    <col min="87" max="87" width="18" customWidth="1"/>
    <col min="88" max="88" width="17.88671875" customWidth="1"/>
    <col min="89" max="89" width="23" customWidth="1"/>
    <col min="90" max="90" width="17.5546875" customWidth="1"/>
    <col min="91" max="91" width="31.44140625" customWidth="1"/>
    <col min="92" max="92" width="29.109375" customWidth="1"/>
    <col min="93" max="93" width="27.109375" customWidth="1"/>
    <col min="94" max="94" width="18.44140625" customWidth="1" collapsed="1"/>
    <col min="95" max="95" width="26.5546875" customWidth="1"/>
    <col min="96" max="96" width="23.109375" customWidth="1"/>
    <col min="97" max="97" width="24.109375" customWidth="1"/>
    <col min="98" max="98" width="19.5546875" customWidth="1"/>
    <col min="99" max="99" width="15.109375" customWidth="1"/>
    <col min="100" max="100" width="13.5546875" customWidth="1"/>
    <col min="101" max="101" width="14.5546875" customWidth="1"/>
    <col min="102" max="102" width="21.5546875" customWidth="1"/>
    <col min="103" max="103" width="13.109375" customWidth="1"/>
    <col min="104" max="104" width="10.5546875" customWidth="1"/>
    <col min="105" max="105" width="19.44140625" customWidth="1"/>
    <col min="106" max="106" width="23.44140625" customWidth="1"/>
    <col min="107" max="107" width="19.44140625" customWidth="1"/>
    <col min="108" max="108" width="18.5546875" customWidth="1"/>
    <col min="109" max="109" width="19.44140625" customWidth="1"/>
    <col min="110" max="110" width="21" customWidth="1"/>
    <col min="111" max="111" width="18.44140625" customWidth="1"/>
    <col min="112" max="112" width="19.109375" customWidth="1"/>
    <col min="113" max="113" width="12.44140625" customWidth="1"/>
    <col min="114" max="114" width="11.5546875" customWidth="1"/>
    <col min="115" max="115" width="16.88671875" customWidth="1"/>
    <col min="116" max="116" width="22" customWidth="1"/>
    <col min="117" max="117" width="21" customWidth="1"/>
    <col min="118" max="118" width="21.44140625" customWidth="1"/>
    <col min="119" max="119" width="15.44140625" customWidth="1"/>
    <col min="120" max="120" width="14.44140625" customWidth="1"/>
    <col min="121" max="121" width="24.44140625" customWidth="1"/>
    <col min="122" max="122" width="9.88671875" customWidth="1"/>
    <col min="123" max="123" width="10.109375" customWidth="1"/>
    <col min="124" max="124" width="12" customWidth="1"/>
    <col min="125" max="125" width="7.5546875" customWidth="1"/>
    <col min="126" max="126" width="10.5546875" customWidth="1"/>
    <col min="127" max="127" width="13.44140625" customWidth="1"/>
    <col min="128" max="128" width="32.44140625" customWidth="1"/>
    <col min="129" max="129" width="10.44140625" customWidth="1"/>
    <col min="130" max="130" width="9.109375" customWidth="1"/>
    <col min="131" max="131" width="11.44140625" customWidth="1"/>
    <col min="132" max="132" width="7.44140625" customWidth="1"/>
    <col min="133" max="133" width="11.44140625" customWidth="1"/>
    <col min="134" max="134" width="13.5546875" customWidth="1"/>
    <col min="135" max="135" width="26.109375" customWidth="1"/>
    <col min="136" max="136" width="7.44140625" customWidth="1"/>
    <col min="137" max="137" width="9.5546875" customWidth="1"/>
    <col min="138" max="138" width="11.44140625" customWidth="1"/>
    <col min="139" max="139" width="7.44140625" customWidth="1"/>
    <col min="140" max="140" width="11.44140625" customWidth="1"/>
    <col min="141" max="141" width="13" customWidth="1"/>
    <col min="142" max="142" width="29.88671875" customWidth="1"/>
    <col min="143" max="143" width="14.5546875" customWidth="1"/>
    <col min="144" max="144" width="17.44140625" customWidth="1"/>
    <col min="145" max="145" width="10.44140625" customWidth="1"/>
    <col min="146" max="146" width="9.44140625" customWidth="1"/>
    <col min="147" max="147" width="10.109375" customWidth="1"/>
    <col min="148" max="148" width="13.44140625" customWidth="1"/>
    <col min="149" max="149" width="13.5546875" customWidth="1"/>
    <col min="150" max="150" width="19.5546875" customWidth="1"/>
    <col min="151" max="151" width="27.88671875" customWidth="1"/>
    <col min="152" max="152" width="18.5546875" customWidth="1"/>
    <col min="153" max="155" width="8.5546875" customWidth="1"/>
    <col min="156" max="157" width="14.5546875" customWidth="1"/>
    <col min="158" max="158" width="19" customWidth="1"/>
    <col min="159" max="159" width="18.109375" customWidth="1"/>
    <col min="160" max="160" width="14.44140625" customWidth="1"/>
    <col min="161" max="161" width="13" customWidth="1"/>
    <col min="162" max="162" width="18.5546875" customWidth="1"/>
    <col min="163" max="163" width="14.44140625" customWidth="1"/>
    <col min="164" max="164" width="17" customWidth="1"/>
    <col min="165" max="165" width="13.5546875" customWidth="1"/>
    <col min="166" max="166" width="23" customWidth="1"/>
    <col min="167" max="167" width="22.44140625" customWidth="1"/>
    <col min="168" max="168" width="24" customWidth="1"/>
    <col min="169" max="169" width="23.44140625" customWidth="1" collapsed="1"/>
    <col min="170" max="170" width="29.44140625" customWidth="1"/>
    <col min="171" max="176" width="23.5546875" customWidth="1"/>
    <col min="177" max="177" width="28" customWidth="1"/>
    <col min="178" max="178" width="23.5546875" customWidth="1"/>
    <col min="179" max="179" width="25" customWidth="1"/>
    <col min="180" max="180" width="26.44140625" customWidth="1"/>
    <col min="181" max="181" width="21.44140625" customWidth="1"/>
    <col min="182" max="182" width="19.109375" customWidth="1"/>
    <col min="183" max="183" width="21.44140625" customWidth="1"/>
    <col min="184" max="184" width="28.109375" customWidth="1"/>
  </cols>
  <sheetData>
    <row r="1" spans="1:191" s="69" customFormat="1" x14ac:dyDescent="0.3">
      <c r="A1" s="69">
        <v>1</v>
      </c>
      <c r="B1" s="69">
        <v>2</v>
      </c>
      <c r="C1" s="69">
        <v>3</v>
      </c>
      <c r="D1" s="69">
        <v>4</v>
      </c>
      <c r="E1" s="69">
        <v>5</v>
      </c>
      <c r="F1" s="69">
        <v>6</v>
      </c>
      <c r="G1" s="69">
        <v>7</v>
      </c>
      <c r="H1" s="69">
        <v>8</v>
      </c>
      <c r="I1" s="69">
        <v>9</v>
      </c>
      <c r="J1" s="69">
        <v>10</v>
      </c>
      <c r="K1" s="69">
        <v>11</v>
      </c>
      <c r="L1" s="69">
        <v>12</v>
      </c>
      <c r="M1" s="69">
        <v>13</v>
      </c>
      <c r="N1" s="69">
        <v>14</v>
      </c>
      <c r="O1" s="69">
        <v>15</v>
      </c>
      <c r="P1" s="69">
        <v>16</v>
      </c>
      <c r="Q1" s="69">
        <v>17</v>
      </c>
      <c r="R1" s="69">
        <v>18</v>
      </c>
      <c r="S1" s="69">
        <v>19</v>
      </c>
      <c r="T1" s="69">
        <v>20</v>
      </c>
      <c r="U1" s="69">
        <v>21</v>
      </c>
      <c r="V1" s="69">
        <v>22</v>
      </c>
      <c r="W1" s="69">
        <v>23</v>
      </c>
      <c r="X1" s="69">
        <v>24</v>
      </c>
      <c r="Y1" s="69">
        <v>25</v>
      </c>
      <c r="Z1" s="69">
        <v>26</v>
      </c>
      <c r="AA1" s="69">
        <v>27</v>
      </c>
      <c r="AB1" s="69">
        <v>28</v>
      </c>
      <c r="AC1" s="69">
        <v>29</v>
      </c>
      <c r="AD1" s="69">
        <v>30</v>
      </c>
      <c r="AE1" s="69">
        <v>31</v>
      </c>
      <c r="AF1" s="69">
        <v>32</v>
      </c>
      <c r="AG1" s="69">
        <v>33</v>
      </c>
      <c r="AH1" s="69">
        <v>34</v>
      </c>
      <c r="AI1" s="69">
        <v>35</v>
      </c>
      <c r="AJ1" s="69">
        <v>36</v>
      </c>
      <c r="AK1" s="69">
        <v>37</v>
      </c>
      <c r="AL1" s="69">
        <v>38</v>
      </c>
      <c r="AM1" s="69">
        <v>39</v>
      </c>
      <c r="AN1" s="69">
        <v>40</v>
      </c>
      <c r="AO1" s="69">
        <v>41</v>
      </c>
      <c r="AP1" s="69">
        <v>42</v>
      </c>
      <c r="AQ1" s="69">
        <v>43</v>
      </c>
      <c r="AR1" s="69">
        <v>44</v>
      </c>
      <c r="AS1" s="69">
        <v>45</v>
      </c>
      <c r="AT1" s="69">
        <v>46</v>
      </c>
      <c r="AU1" s="69">
        <v>47</v>
      </c>
      <c r="AV1" s="69">
        <v>48</v>
      </c>
      <c r="AW1" s="69">
        <v>49</v>
      </c>
      <c r="AX1" s="69">
        <v>50</v>
      </c>
      <c r="AY1" s="69">
        <v>51</v>
      </c>
      <c r="AZ1" s="69">
        <v>52</v>
      </c>
      <c r="BA1" s="69">
        <v>53</v>
      </c>
      <c r="BB1" s="69">
        <v>54</v>
      </c>
      <c r="BC1" s="69">
        <v>55</v>
      </c>
      <c r="BD1" s="69">
        <v>56</v>
      </c>
      <c r="BE1" s="69">
        <v>57</v>
      </c>
      <c r="BF1" s="69">
        <v>58</v>
      </c>
      <c r="BG1" s="69">
        <v>59</v>
      </c>
      <c r="BH1" s="69">
        <v>60</v>
      </c>
      <c r="BI1" s="69">
        <v>61</v>
      </c>
      <c r="BJ1" s="69">
        <v>62</v>
      </c>
      <c r="BK1" s="69">
        <v>63</v>
      </c>
      <c r="BL1" s="69">
        <v>64</v>
      </c>
      <c r="BM1" s="69">
        <v>65</v>
      </c>
      <c r="BN1" s="69">
        <v>66</v>
      </c>
      <c r="BO1" s="69">
        <v>67</v>
      </c>
      <c r="BP1" s="69">
        <v>68</v>
      </c>
      <c r="BQ1" s="69">
        <v>69</v>
      </c>
      <c r="BR1" s="69">
        <v>70</v>
      </c>
      <c r="BS1" s="69">
        <v>71</v>
      </c>
      <c r="BT1" s="69">
        <v>72</v>
      </c>
      <c r="BU1" s="69">
        <v>73</v>
      </c>
      <c r="BV1" s="69">
        <v>74</v>
      </c>
      <c r="BW1" s="69">
        <v>75</v>
      </c>
      <c r="BX1" s="69">
        <v>76</v>
      </c>
      <c r="BY1" s="69">
        <v>77</v>
      </c>
      <c r="BZ1" s="69">
        <v>78</v>
      </c>
      <c r="CA1" s="69">
        <v>79</v>
      </c>
      <c r="CB1" s="69">
        <v>80</v>
      </c>
      <c r="CC1" s="69">
        <v>81</v>
      </c>
      <c r="CD1" s="69">
        <v>82</v>
      </c>
      <c r="CE1" s="69">
        <v>83</v>
      </c>
      <c r="CF1" s="69">
        <v>84</v>
      </c>
      <c r="CG1" s="69">
        <v>85</v>
      </c>
      <c r="CH1" s="69">
        <v>86</v>
      </c>
      <c r="CI1" s="69">
        <v>87</v>
      </c>
      <c r="CJ1" s="69">
        <v>88</v>
      </c>
      <c r="CK1" s="69">
        <v>89</v>
      </c>
      <c r="CL1" s="69">
        <v>90</v>
      </c>
      <c r="CM1" s="69">
        <v>91</v>
      </c>
      <c r="CN1" s="69">
        <v>92</v>
      </c>
      <c r="CO1" s="69">
        <v>93</v>
      </c>
      <c r="CP1" s="69">
        <v>94</v>
      </c>
      <c r="CQ1" s="69">
        <v>95</v>
      </c>
      <c r="CR1" s="69">
        <v>96</v>
      </c>
      <c r="CS1" s="69">
        <v>97</v>
      </c>
      <c r="CT1" s="69">
        <v>98</v>
      </c>
      <c r="CU1" s="69">
        <v>99</v>
      </c>
      <c r="CV1" s="69">
        <v>100</v>
      </c>
      <c r="CW1" s="69">
        <v>101</v>
      </c>
      <c r="CX1" s="69">
        <v>102</v>
      </c>
      <c r="CY1" s="69">
        <v>103</v>
      </c>
      <c r="CZ1" s="69">
        <v>104</v>
      </c>
      <c r="DA1" s="69">
        <v>105</v>
      </c>
      <c r="DB1" s="69">
        <v>106</v>
      </c>
      <c r="DC1" s="69">
        <v>107</v>
      </c>
      <c r="DD1" s="69">
        <v>108</v>
      </c>
      <c r="DE1" s="69">
        <v>109</v>
      </c>
      <c r="DF1" s="69">
        <v>110</v>
      </c>
      <c r="DG1" s="69">
        <v>111</v>
      </c>
      <c r="DH1" s="69">
        <v>112</v>
      </c>
      <c r="DI1" s="69">
        <v>113</v>
      </c>
      <c r="DJ1" s="69">
        <v>114</v>
      </c>
      <c r="DK1" s="69">
        <v>115</v>
      </c>
      <c r="DL1" s="69">
        <v>116</v>
      </c>
      <c r="DM1" s="69">
        <v>117</v>
      </c>
      <c r="DN1" s="69">
        <v>118</v>
      </c>
      <c r="DO1" s="69">
        <v>119</v>
      </c>
      <c r="DP1" s="69">
        <v>120</v>
      </c>
      <c r="DQ1" s="69">
        <v>121</v>
      </c>
      <c r="DR1" s="69">
        <v>122</v>
      </c>
      <c r="DS1" s="69">
        <v>123</v>
      </c>
      <c r="DT1" s="69">
        <v>124</v>
      </c>
      <c r="DU1" s="69">
        <v>125</v>
      </c>
      <c r="DV1" s="69">
        <v>126</v>
      </c>
      <c r="DW1" s="69">
        <v>127</v>
      </c>
      <c r="DX1" s="69">
        <v>128</v>
      </c>
      <c r="DY1" s="69">
        <v>129</v>
      </c>
      <c r="DZ1" s="69">
        <v>130</v>
      </c>
      <c r="EA1" s="69">
        <v>131</v>
      </c>
      <c r="EB1" s="69">
        <v>132</v>
      </c>
      <c r="EC1" s="69">
        <v>133</v>
      </c>
      <c r="ED1" s="69">
        <v>134</v>
      </c>
      <c r="EE1" s="69">
        <v>135</v>
      </c>
      <c r="EF1" s="69">
        <v>136</v>
      </c>
      <c r="EG1" s="69">
        <v>137</v>
      </c>
      <c r="EH1" s="69">
        <v>138</v>
      </c>
      <c r="EI1" s="69">
        <v>139</v>
      </c>
      <c r="EJ1" s="69">
        <v>140</v>
      </c>
      <c r="EK1" s="69">
        <v>141</v>
      </c>
      <c r="EL1" s="69">
        <v>142</v>
      </c>
      <c r="EM1" s="69">
        <v>143</v>
      </c>
      <c r="EN1" s="69">
        <v>144</v>
      </c>
      <c r="EO1" s="69">
        <v>145</v>
      </c>
      <c r="EP1" s="69">
        <v>146</v>
      </c>
      <c r="EQ1" s="69">
        <v>147</v>
      </c>
      <c r="ER1" s="69">
        <v>148</v>
      </c>
      <c r="ES1" s="69">
        <v>149</v>
      </c>
      <c r="ET1" s="69">
        <v>150</v>
      </c>
      <c r="EU1" s="69">
        <v>151</v>
      </c>
      <c r="EV1" s="69">
        <v>152</v>
      </c>
      <c r="EW1" s="69">
        <v>153</v>
      </c>
      <c r="EX1" s="69">
        <v>154</v>
      </c>
      <c r="EY1" s="69">
        <v>155</v>
      </c>
      <c r="EZ1" s="69">
        <v>156</v>
      </c>
      <c r="FA1" s="69">
        <v>157</v>
      </c>
      <c r="FB1" s="69">
        <v>158</v>
      </c>
      <c r="FC1" s="69">
        <v>159</v>
      </c>
      <c r="FD1" s="69">
        <v>160</v>
      </c>
      <c r="FE1" s="69">
        <v>161</v>
      </c>
      <c r="FF1" s="69">
        <v>162</v>
      </c>
      <c r="FG1" s="69">
        <v>163</v>
      </c>
      <c r="FH1" s="69">
        <v>164</v>
      </c>
      <c r="FI1" s="69">
        <v>165</v>
      </c>
      <c r="FJ1" s="69">
        <v>166</v>
      </c>
      <c r="FK1" s="69">
        <v>167</v>
      </c>
      <c r="FL1" s="69">
        <v>168</v>
      </c>
      <c r="FM1" s="69">
        <v>169</v>
      </c>
      <c r="FN1" s="69">
        <v>170</v>
      </c>
      <c r="FO1" s="69">
        <v>171</v>
      </c>
      <c r="FP1" s="69">
        <v>172</v>
      </c>
      <c r="FQ1" s="69">
        <v>173</v>
      </c>
      <c r="FR1" s="69">
        <v>174</v>
      </c>
      <c r="FS1" s="69">
        <v>175</v>
      </c>
      <c r="FT1" s="69">
        <v>176</v>
      </c>
      <c r="FU1" s="69">
        <v>177</v>
      </c>
      <c r="FV1" s="69">
        <v>178</v>
      </c>
      <c r="FW1" s="69">
        <v>179</v>
      </c>
      <c r="FX1" s="69">
        <v>180</v>
      </c>
      <c r="FY1" s="69">
        <v>181</v>
      </c>
      <c r="FZ1" s="69">
        <v>182</v>
      </c>
      <c r="GA1" s="69">
        <v>183</v>
      </c>
      <c r="GB1" s="69">
        <v>184</v>
      </c>
      <c r="GC1" s="69">
        <v>185</v>
      </c>
      <c r="GD1" s="69">
        <v>186</v>
      </c>
      <c r="GE1" s="69">
        <v>187</v>
      </c>
      <c r="GF1" s="69">
        <v>188</v>
      </c>
      <c r="GG1" s="69">
        <v>189</v>
      </c>
      <c r="GH1" s="69">
        <v>190</v>
      </c>
      <c r="GI1" s="69">
        <v>191</v>
      </c>
    </row>
    <row r="2" spans="1:191" ht="27.6" x14ac:dyDescent="0.3">
      <c r="A2" s="46" t="str">
        <f>Start!H18</f>
        <v>Zeilen-selektor</v>
      </c>
      <c r="C2" s="49"/>
      <c r="D2" s="51" t="s">
        <v>68</v>
      </c>
      <c r="E2" s="50"/>
      <c r="H2" s="53"/>
      <c r="I2" s="52" t="str">
        <f>IF(Start!$H$8=1,Start!$H$6,"")</f>
        <v>Gewählte Sprache</v>
      </c>
      <c r="J2" s="55" t="str">
        <f>IF(Start!$H$8=1,Start!$H$10,"")</f>
        <v>Deutsch</v>
      </c>
      <c r="FY2" s="86" t="s">
        <v>69</v>
      </c>
      <c r="FZ2" s="86" t="s">
        <v>69</v>
      </c>
      <c r="GA2" s="86" t="s">
        <v>69</v>
      </c>
      <c r="GB2" s="86" t="s">
        <v>69</v>
      </c>
      <c r="GC2" s="86" t="s">
        <v>69</v>
      </c>
      <c r="GD2" s="86" t="s">
        <v>69</v>
      </c>
    </row>
    <row r="3" spans="1:191" s="19" customFormat="1" ht="103.5" customHeight="1" outlineLevel="1" x14ac:dyDescent="0.3">
      <c r="A3" s="45">
        <v>11</v>
      </c>
      <c r="B3" s="114" t="s">
        <v>70</v>
      </c>
      <c r="C3" s="116" t="s">
        <v>71</v>
      </c>
      <c r="D3" s="117"/>
      <c r="E3" s="117"/>
      <c r="F3" s="116" t="s">
        <v>72</v>
      </c>
      <c r="G3" s="116" t="s">
        <v>73</v>
      </c>
      <c r="H3" s="114" t="s">
        <v>74</v>
      </c>
      <c r="I3" s="114" t="s">
        <v>75</v>
      </c>
      <c r="J3" s="114" t="s">
        <v>76</v>
      </c>
      <c r="K3" s="114" t="s">
        <v>77</v>
      </c>
      <c r="L3" s="116" t="s">
        <v>78</v>
      </c>
      <c r="M3" s="114" t="s">
        <v>79</v>
      </c>
      <c r="N3" s="114" t="s">
        <v>80</v>
      </c>
      <c r="O3" s="116" t="s">
        <v>81</v>
      </c>
      <c r="P3" s="116" t="s">
        <v>82</v>
      </c>
      <c r="Q3" s="116" t="s">
        <v>83</v>
      </c>
      <c r="R3" s="116" t="s">
        <v>84</v>
      </c>
      <c r="S3" s="116" t="s">
        <v>85</v>
      </c>
      <c r="T3" s="116" t="s">
        <v>86</v>
      </c>
      <c r="U3" s="116" t="s">
        <v>87</v>
      </c>
      <c r="V3" s="160" t="s">
        <v>88</v>
      </c>
      <c r="W3" s="114" t="s">
        <v>89</v>
      </c>
      <c r="X3" s="114" t="s">
        <v>90</v>
      </c>
      <c r="Y3" s="114" t="s">
        <v>91</v>
      </c>
      <c r="Z3" s="114" t="s">
        <v>92</v>
      </c>
      <c r="AA3" s="114" t="s">
        <v>93</v>
      </c>
      <c r="AB3" s="114" t="s">
        <v>94</v>
      </c>
      <c r="AC3" s="114" t="s">
        <v>95</v>
      </c>
      <c r="AD3" s="114" t="s">
        <v>96</v>
      </c>
      <c r="AE3" s="114" t="s">
        <v>97</v>
      </c>
      <c r="AF3" s="114" t="s">
        <v>98</v>
      </c>
      <c r="AG3" s="116" t="s">
        <v>99</v>
      </c>
      <c r="AH3" s="114" t="s">
        <v>100</v>
      </c>
      <c r="AI3" s="116" t="s">
        <v>101</v>
      </c>
      <c r="AJ3" s="116" t="s">
        <v>102</v>
      </c>
      <c r="AK3" s="116" t="s">
        <v>103</v>
      </c>
      <c r="AL3" s="116" t="s">
        <v>104</v>
      </c>
      <c r="AM3" s="114" t="s">
        <v>105</v>
      </c>
      <c r="AN3" s="116" t="s">
        <v>106</v>
      </c>
      <c r="AO3" s="114" t="s">
        <v>107</v>
      </c>
      <c r="AP3" s="116" t="s">
        <v>108</v>
      </c>
      <c r="AQ3" s="120" t="s">
        <v>109</v>
      </c>
      <c r="AR3" s="121"/>
      <c r="AS3" s="120" t="s">
        <v>110</v>
      </c>
      <c r="AT3" s="121"/>
      <c r="AU3" s="114" t="s">
        <v>111</v>
      </c>
      <c r="AV3" s="114" t="s">
        <v>112</v>
      </c>
      <c r="AW3" s="161" t="s">
        <v>113</v>
      </c>
      <c r="AX3" s="114" t="s">
        <v>114</v>
      </c>
      <c r="AY3" s="114" t="s">
        <v>115</v>
      </c>
      <c r="AZ3" s="114" t="s">
        <v>116</v>
      </c>
      <c r="BA3" s="114" t="s">
        <v>117</v>
      </c>
      <c r="BB3" s="114" t="s">
        <v>118</v>
      </c>
      <c r="BC3" s="114" t="s">
        <v>119</v>
      </c>
      <c r="BD3" s="114" t="s">
        <v>120</v>
      </c>
      <c r="BE3" s="114" t="s">
        <v>121</v>
      </c>
      <c r="BF3" s="114" t="s">
        <v>122</v>
      </c>
      <c r="BG3" s="114" t="s">
        <v>123</v>
      </c>
      <c r="BH3" s="114" t="s">
        <v>124</v>
      </c>
      <c r="BI3" s="160" t="s">
        <v>125</v>
      </c>
      <c r="BJ3" s="114" t="s">
        <v>126</v>
      </c>
      <c r="BK3" s="114" t="s">
        <v>127</v>
      </c>
      <c r="BL3" s="114" t="s">
        <v>128</v>
      </c>
      <c r="BM3" s="116" t="s">
        <v>129</v>
      </c>
      <c r="BN3" s="114" t="s">
        <v>130</v>
      </c>
      <c r="BO3" s="116" t="s">
        <v>131</v>
      </c>
      <c r="BP3" s="114" t="s">
        <v>132</v>
      </c>
      <c r="BQ3" s="116" t="s">
        <v>133</v>
      </c>
      <c r="BR3" s="116" t="s">
        <v>134</v>
      </c>
      <c r="BS3" s="116" t="s">
        <v>135</v>
      </c>
      <c r="BT3" s="116" t="s">
        <v>136</v>
      </c>
      <c r="BU3" s="114" t="s">
        <v>137</v>
      </c>
      <c r="BV3" s="114" t="s">
        <v>138</v>
      </c>
      <c r="BW3" s="116" t="s">
        <v>139</v>
      </c>
      <c r="BX3" s="114" t="s">
        <v>140</v>
      </c>
      <c r="BY3" s="114" t="s">
        <v>141</v>
      </c>
      <c r="BZ3" s="114" t="s">
        <v>142</v>
      </c>
      <c r="CA3" s="114" t="s">
        <v>143</v>
      </c>
      <c r="CB3" s="114" t="s">
        <v>144</v>
      </c>
      <c r="CC3" s="114" t="s">
        <v>145</v>
      </c>
      <c r="CD3" s="114" t="s">
        <v>146</v>
      </c>
      <c r="CE3" s="114" t="s">
        <v>147</v>
      </c>
      <c r="CF3" s="114" t="s">
        <v>148</v>
      </c>
      <c r="CG3" s="114" t="s">
        <v>149</v>
      </c>
      <c r="CH3" s="114" t="s">
        <v>150</v>
      </c>
      <c r="CI3" s="114" t="s">
        <v>151</v>
      </c>
      <c r="CJ3" s="114" t="s">
        <v>152</v>
      </c>
      <c r="CK3" s="114" t="s">
        <v>153</v>
      </c>
      <c r="CL3" s="114" t="s">
        <v>154</v>
      </c>
      <c r="CM3" s="114" t="s">
        <v>155</v>
      </c>
      <c r="CN3" s="114" t="s">
        <v>156</v>
      </c>
      <c r="CO3" s="116" t="s">
        <v>157</v>
      </c>
      <c r="CP3" s="116" t="s">
        <v>158</v>
      </c>
      <c r="CQ3" s="114" t="s">
        <v>159</v>
      </c>
      <c r="CR3" s="114" t="s">
        <v>160</v>
      </c>
      <c r="CS3" s="114" t="s">
        <v>161</v>
      </c>
      <c r="CT3" s="116" t="s">
        <v>162</v>
      </c>
      <c r="CU3" s="164" t="s">
        <v>163</v>
      </c>
      <c r="CV3" s="165"/>
      <c r="CW3" s="165"/>
      <c r="CX3" s="114" t="s">
        <v>164</v>
      </c>
      <c r="CY3" s="114" t="s">
        <v>165</v>
      </c>
      <c r="CZ3" s="114" t="s">
        <v>166</v>
      </c>
      <c r="DA3" s="114" t="s">
        <v>167</v>
      </c>
      <c r="DB3" s="18"/>
      <c r="DC3" s="114" t="s">
        <v>168</v>
      </c>
      <c r="DD3" s="18" t="s">
        <v>38</v>
      </c>
      <c r="DE3" s="114" t="s">
        <v>169</v>
      </c>
      <c r="DF3" s="114" t="s">
        <v>170</v>
      </c>
      <c r="DG3" s="18"/>
      <c r="DH3" s="114" t="s">
        <v>171</v>
      </c>
      <c r="DI3" s="114" t="s">
        <v>172</v>
      </c>
      <c r="DJ3" s="114" t="s">
        <v>173</v>
      </c>
      <c r="DK3" s="114" t="s">
        <v>174</v>
      </c>
      <c r="DL3" s="116" t="s">
        <v>175</v>
      </c>
      <c r="DM3" s="114" t="s">
        <v>176</v>
      </c>
      <c r="DN3" s="114" t="s">
        <v>177</v>
      </c>
      <c r="DO3" s="114" t="s">
        <v>178</v>
      </c>
      <c r="DP3" s="114" t="s">
        <v>179</v>
      </c>
      <c r="DQ3" s="116" t="s">
        <v>180</v>
      </c>
      <c r="DR3" s="144" t="s">
        <v>640</v>
      </c>
      <c r="DS3" s="145"/>
      <c r="DT3" s="145"/>
      <c r="DU3" s="145"/>
      <c r="DV3" s="145"/>
      <c r="DW3" s="146"/>
      <c r="DX3" s="114" t="s">
        <v>641</v>
      </c>
      <c r="DY3" s="144" t="s">
        <v>642</v>
      </c>
      <c r="DZ3" s="145"/>
      <c r="EA3" s="145"/>
      <c r="EB3" s="145"/>
      <c r="EC3" s="145"/>
      <c r="ED3" s="146"/>
      <c r="EE3" s="114" t="s">
        <v>643</v>
      </c>
      <c r="EF3" s="144" t="s">
        <v>644</v>
      </c>
      <c r="EG3" s="145"/>
      <c r="EH3" s="145"/>
      <c r="EI3" s="145"/>
      <c r="EJ3" s="145"/>
      <c r="EK3" s="146"/>
      <c r="EL3" s="114" t="s">
        <v>645</v>
      </c>
      <c r="EM3" s="116" t="s">
        <v>181</v>
      </c>
      <c r="EN3" s="116" t="s">
        <v>182</v>
      </c>
      <c r="EO3" s="142" t="s">
        <v>183</v>
      </c>
      <c r="EP3" s="142"/>
      <c r="EQ3" s="142"/>
      <c r="ER3" s="142"/>
      <c r="ES3" s="143"/>
      <c r="ET3" s="116" t="s">
        <v>184</v>
      </c>
      <c r="EU3" s="114" t="s">
        <v>185</v>
      </c>
      <c r="EV3" s="114" t="s">
        <v>186</v>
      </c>
      <c r="EW3" s="156" t="s">
        <v>187</v>
      </c>
      <c r="EX3" s="157"/>
      <c r="EY3" s="157"/>
      <c r="EZ3" s="157"/>
      <c r="FA3" s="158"/>
      <c r="FB3" s="116" t="s">
        <v>188</v>
      </c>
      <c r="FC3" s="114" t="s">
        <v>189</v>
      </c>
      <c r="FD3" s="114" t="s">
        <v>190</v>
      </c>
      <c r="FE3" s="114" t="s">
        <v>191</v>
      </c>
      <c r="FF3" s="116" t="s">
        <v>192</v>
      </c>
      <c r="FG3" s="116" t="s">
        <v>193</v>
      </c>
      <c r="FH3" s="116" t="s">
        <v>194</v>
      </c>
      <c r="FI3" s="116" t="s">
        <v>195</v>
      </c>
      <c r="FJ3" s="116" t="s">
        <v>196</v>
      </c>
      <c r="FK3" s="114" t="s">
        <v>197</v>
      </c>
      <c r="FL3" s="114" t="s">
        <v>198</v>
      </c>
      <c r="FM3" s="116" t="s">
        <v>199</v>
      </c>
      <c r="FN3" s="116" t="s">
        <v>200</v>
      </c>
      <c r="FO3" s="114" t="s">
        <v>201</v>
      </c>
      <c r="FP3" s="114" t="s">
        <v>202</v>
      </c>
      <c r="FQ3" s="114" t="s">
        <v>203</v>
      </c>
      <c r="FR3" s="114" t="s">
        <v>204</v>
      </c>
      <c r="FS3" s="114" t="s">
        <v>205</v>
      </c>
      <c r="FT3" s="116" t="s">
        <v>206</v>
      </c>
      <c r="FU3" s="114" t="s">
        <v>207</v>
      </c>
      <c r="FV3" s="116" t="s">
        <v>208</v>
      </c>
      <c r="FW3" s="133" t="s">
        <v>209</v>
      </c>
      <c r="FX3" s="138" t="s">
        <v>210</v>
      </c>
      <c r="FY3" s="130" t="s">
        <v>211</v>
      </c>
      <c r="FZ3" s="129" t="s">
        <v>212</v>
      </c>
      <c r="GA3" s="130" t="s">
        <v>213</v>
      </c>
      <c r="GB3" s="130" t="s">
        <v>214</v>
      </c>
      <c r="GC3" s="122" t="s">
        <v>39</v>
      </c>
      <c r="GD3" s="116" t="s">
        <v>690</v>
      </c>
    </row>
    <row r="4" spans="1:191" s="19" customFormat="1" ht="86.1" customHeight="1" outlineLevel="1" x14ac:dyDescent="0.3">
      <c r="A4" s="45">
        <v>12</v>
      </c>
      <c r="B4" s="115"/>
      <c r="C4" s="94" t="s">
        <v>215</v>
      </c>
      <c r="D4" s="94" t="s">
        <v>216</v>
      </c>
      <c r="E4" s="94" t="s">
        <v>217</v>
      </c>
      <c r="F4" s="118"/>
      <c r="G4" s="118"/>
      <c r="H4" s="119"/>
      <c r="I4" s="119"/>
      <c r="J4" s="119"/>
      <c r="K4" s="119"/>
      <c r="L4" s="118"/>
      <c r="M4" s="119"/>
      <c r="N4" s="119"/>
      <c r="O4" s="118"/>
      <c r="P4" s="118"/>
      <c r="Q4" s="118"/>
      <c r="R4" s="118"/>
      <c r="S4" s="118"/>
      <c r="T4" s="118"/>
      <c r="U4" s="118"/>
      <c r="V4" s="160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8"/>
      <c r="AH4" s="119"/>
      <c r="AI4" s="118"/>
      <c r="AJ4" s="118"/>
      <c r="AK4" s="118"/>
      <c r="AL4" s="118"/>
      <c r="AM4" s="119"/>
      <c r="AN4" s="118"/>
      <c r="AO4" s="119"/>
      <c r="AP4" s="118"/>
      <c r="AQ4" s="96" t="s">
        <v>218</v>
      </c>
      <c r="AR4" s="20" t="s">
        <v>219</v>
      </c>
      <c r="AS4" s="96" t="s">
        <v>220</v>
      </c>
      <c r="AT4" s="20" t="s">
        <v>221</v>
      </c>
      <c r="AU4" s="119"/>
      <c r="AV4" s="119"/>
      <c r="AW4" s="162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63"/>
      <c r="BJ4" s="119"/>
      <c r="BK4" s="119"/>
      <c r="BL4" s="119"/>
      <c r="BM4" s="118"/>
      <c r="BN4" s="119"/>
      <c r="BO4" s="118"/>
      <c r="BP4" s="119"/>
      <c r="BQ4" s="118"/>
      <c r="BR4" s="118"/>
      <c r="BS4" s="118"/>
      <c r="BT4" s="118"/>
      <c r="BU4" s="119"/>
      <c r="BV4" s="119"/>
      <c r="BW4" s="118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8"/>
      <c r="CP4" s="118"/>
      <c r="CQ4" s="119"/>
      <c r="CR4" s="119"/>
      <c r="CS4" s="119"/>
      <c r="CT4" s="118"/>
      <c r="CU4" s="95" t="s">
        <v>222</v>
      </c>
      <c r="CV4" s="95" t="s">
        <v>223</v>
      </c>
      <c r="CW4" s="95" t="s">
        <v>224</v>
      </c>
      <c r="CX4" s="119"/>
      <c r="CY4" s="119"/>
      <c r="CZ4" s="119"/>
      <c r="DA4" s="119"/>
      <c r="DB4" s="94" t="s">
        <v>225</v>
      </c>
      <c r="DC4" s="119"/>
      <c r="DD4" s="94" t="s">
        <v>226</v>
      </c>
      <c r="DE4" s="119"/>
      <c r="DF4" s="119"/>
      <c r="DG4" s="94" t="s">
        <v>227</v>
      </c>
      <c r="DH4" s="119"/>
      <c r="DI4" s="119"/>
      <c r="DJ4" s="119"/>
      <c r="DK4" s="119"/>
      <c r="DL4" s="118"/>
      <c r="DM4" s="119"/>
      <c r="DN4" s="119"/>
      <c r="DO4" s="119"/>
      <c r="DP4" s="119"/>
      <c r="DQ4" s="118"/>
      <c r="DR4" s="21" t="s">
        <v>228</v>
      </c>
      <c r="DS4" s="21" t="s">
        <v>654</v>
      </c>
      <c r="DT4" s="21" t="s">
        <v>653</v>
      </c>
      <c r="DU4" s="21" t="s">
        <v>229</v>
      </c>
      <c r="DV4" s="21" t="s">
        <v>230</v>
      </c>
      <c r="DW4" s="21" t="s">
        <v>652</v>
      </c>
      <c r="DX4" s="119"/>
      <c r="DY4" s="21" t="s">
        <v>231</v>
      </c>
      <c r="DZ4" s="21" t="s">
        <v>648</v>
      </c>
      <c r="EA4" s="21" t="s">
        <v>650</v>
      </c>
      <c r="EB4" s="21" t="s">
        <v>232</v>
      </c>
      <c r="EC4" s="21" t="s">
        <v>233</v>
      </c>
      <c r="ED4" s="21" t="s">
        <v>651</v>
      </c>
      <c r="EE4" s="119"/>
      <c r="EF4" s="21" t="s">
        <v>234</v>
      </c>
      <c r="EG4" s="21" t="s">
        <v>646</v>
      </c>
      <c r="EH4" s="21" t="s">
        <v>649</v>
      </c>
      <c r="EI4" s="21" t="s">
        <v>235</v>
      </c>
      <c r="EJ4" s="21" t="s">
        <v>236</v>
      </c>
      <c r="EK4" s="21" t="s">
        <v>647</v>
      </c>
      <c r="EL4" s="119"/>
      <c r="EM4" s="118"/>
      <c r="EN4" s="118"/>
      <c r="EO4" s="94" t="s">
        <v>237</v>
      </c>
      <c r="EP4" s="94" t="s">
        <v>238</v>
      </c>
      <c r="EQ4" s="94" t="s">
        <v>239</v>
      </c>
      <c r="ER4" s="94" t="s">
        <v>240</v>
      </c>
      <c r="ES4" s="94" t="s">
        <v>241</v>
      </c>
      <c r="ET4" s="118"/>
      <c r="EU4" s="119"/>
      <c r="EV4" s="119"/>
      <c r="EW4" s="22" t="s">
        <v>242</v>
      </c>
      <c r="EX4" s="22" t="s">
        <v>243</v>
      </c>
      <c r="EY4" s="22" t="s">
        <v>244</v>
      </c>
      <c r="EZ4" s="22" t="s">
        <v>245</v>
      </c>
      <c r="FA4" s="22" t="s">
        <v>246</v>
      </c>
      <c r="FB4" s="118"/>
      <c r="FC4" s="119"/>
      <c r="FD4" s="119"/>
      <c r="FE4" s="119"/>
      <c r="FF4" s="118"/>
      <c r="FG4" s="118"/>
      <c r="FH4" s="118"/>
      <c r="FI4" s="118"/>
      <c r="FJ4" s="118"/>
      <c r="FK4" s="119"/>
      <c r="FL4" s="119"/>
      <c r="FM4" s="118"/>
      <c r="FN4" s="118"/>
      <c r="FO4" s="119"/>
      <c r="FP4" s="119"/>
      <c r="FQ4" s="119"/>
      <c r="FR4" s="119"/>
      <c r="FS4" s="119"/>
      <c r="FT4" s="118"/>
      <c r="FU4" s="119"/>
      <c r="FV4" s="118"/>
      <c r="FW4" s="134"/>
      <c r="FX4" s="139"/>
      <c r="FY4" s="130"/>
      <c r="FZ4" s="129"/>
      <c r="GA4" s="130"/>
      <c r="GB4" s="130"/>
      <c r="GC4" s="123"/>
      <c r="GD4" s="118"/>
    </row>
    <row r="5" spans="1:191" s="3" customFormat="1" ht="49.35" customHeight="1" outlineLevel="2" x14ac:dyDescent="0.3">
      <c r="A5" s="45">
        <v>13</v>
      </c>
      <c r="B5" s="4" t="s">
        <v>247</v>
      </c>
      <c r="C5" s="82" t="s">
        <v>248</v>
      </c>
      <c r="D5" s="82" t="s">
        <v>248</v>
      </c>
      <c r="E5" s="82" t="s">
        <v>248</v>
      </c>
      <c r="F5" s="82" t="s">
        <v>249</v>
      </c>
      <c r="G5" s="5" t="s">
        <v>250</v>
      </c>
      <c r="H5" s="82" t="s">
        <v>251</v>
      </c>
      <c r="I5" s="82" t="s">
        <v>249</v>
      </c>
      <c r="J5" s="82" t="s">
        <v>249</v>
      </c>
      <c r="K5" s="2" t="s">
        <v>696</v>
      </c>
      <c r="L5" s="82" t="s">
        <v>40</v>
      </c>
      <c r="M5" s="82" t="s">
        <v>249</v>
      </c>
      <c r="N5" s="82" t="s">
        <v>251</v>
      </c>
      <c r="O5" s="82" t="s">
        <v>248</v>
      </c>
      <c r="P5" s="82" t="s">
        <v>252</v>
      </c>
      <c r="Q5" s="82" t="s">
        <v>253</v>
      </c>
      <c r="R5" s="82" t="s">
        <v>254</v>
      </c>
      <c r="S5" s="82" t="s">
        <v>254</v>
      </c>
      <c r="T5" s="82" t="s">
        <v>255</v>
      </c>
      <c r="U5" s="82" t="s">
        <v>256</v>
      </c>
      <c r="V5" s="82" t="s">
        <v>40</v>
      </c>
      <c r="W5" s="82" t="s">
        <v>257</v>
      </c>
      <c r="X5" s="82" t="s">
        <v>257</v>
      </c>
      <c r="Y5" s="82" t="s">
        <v>257</v>
      </c>
      <c r="Z5" s="82" t="s">
        <v>257</v>
      </c>
      <c r="AA5" s="82" t="s">
        <v>251</v>
      </c>
      <c r="AB5" s="82" t="s">
        <v>251</v>
      </c>
      <c r="AC5" s="82" t="s">
        <v>251</v>
      </c>
      <c r="AD5" s="82" t="s">
        <v>251</v>
      </c>
      <c r="AE5" s="82" t="s">
        <v>257</v>
      </c>
      <c r="AF5" s="82" t="s">
        <v>257</v>
      </c>
      <c r="AG5" s="82" t="s">
        <v>258</v>
      </c>
      <c r="AH5" s="82" t="s">
        <v>251</v>
      </c>
      <c r="AI5" s="82" t="s">
        <v>259</v>
      </c>
      <c r="AJ5" s="82" t="s">
        <v>260</v>
      </c>
      <c r="AK5" s="82" t="s">
        <v>40</v>
      </c>
      <c r="AL5" s="82" t="s">
        <v>40</v>
      </c>
      <c r="AM5" s="82" t="s">
        <v>261</v>
      </c>
      <c r="AN5" s="82" t="s">
        <v>40</v>
      </c>
      <c r="AO5" s="82" t="s">
        <v>261</v>
      </c>
      <c r="AP5" s="82" t="s">
        <v>40</v>
      </c>
      <c r="AQ5" s="124" t="s">
        <v>262</v>
      </c>
      <c r="AR5" s="125"/>
      <c r="AS5" s="125"/>
      <c r="AT5" s="126"/>
      <c r="AU5" s="82" t="s">
        <v>263</v>
      </c>
      <c r="AV5" s="82" t="s">
        <v>40</v>
      </c>
      <c r="AW5" s="82" t="s">
        <v>40</v>
      </c>
      <c r="AX5" s="82" t="s">
        <v>40</v>
      </c>
      <c r="AY5" s="82" t="s">
        <v>40</v>
      </c>
      <c r="AZ5" s="82" t="s">
        <v>40</v>
      </c>
      <c r="BA5" s="82" t="s">
        <v>40</v>
      </c>
      <c r="BB5" s="82" t="s">
        <v>40</v>
      </c>
      <c r="BC5" s="82" t="s">
        <v>40</v>
      </c>
      <c r="BD5" s="82" t="s">
        <v>40</v>
      </c>
      <c r="BE5" s="82" t="s">
        <v>40</v>
      </c>
      <c r="BF5" s="82" t="s">
        <v>40</v>
      </c>
      <c r="BG5" s="82" t="s">
        <v>255</v>
      </c>
      <c r="BH5" s="82" t="s">
        <v>251</v>
      </c>
      <c r="BI5" s="82" t="s">
        <v>40</v>
      </c>
      <c r="BJ5" s="82" t="s">
        <v>639</v>
      </c>
      <c r="BK5" s="82" t="s">
        <v>40</v>
      </c>
      <c r="BL5" s="82" t="s">
        <v>40</v>
      </c>
      <c r="BM5" s="82" t="s">
        <v>40</v>
      </c>
      <c r="BN5" s="82" t="s">
        <v>40</v>
      </c>
      <c r="BO5" s="82" t="s">
        <v>40</v>
      </c>
      <c r="BP5" s="82" t="s">
        <v>257</v>
      </c>
      <c r="BQ5" s="82" t="s">
        <v>40</v>
      </c>
      <c r="BR5" s="82" t="s">
        <v>40</v>
      </c>
      <c r="BS5" s="82" t="s">
        <v>265</v>
      </c>
      <c r="BT5" s="82" t="s">
        <v>266</v>
      </c>
      <c r="BU5" s="82" t="s">
        <v>249</v>
      </c>
      <c r="BV5" s="82" t="s">
        <v>40</v>
      </c>
      <c r="BW5" s="82" t="s">
        <v>40</v>
      </c>
      <c r="BX5" s="82" t="s">
        <v>40</v>
      </c>
      <c r="BY5" s="82" t="s">
        <v>257</v>
      </c>
      <c r="BZ5" s="82" t="s">
        <v>248</v>
      </c>
      <c r="CA5" s="82" t="s">
        <v>257</v>
      </c>
      <c r="CB5" s="82" t="s">
        <v>257</v>
      </c>
      <c r="CC5" s="82" t="s">
        <v>257</v>
      </c>
      <c r="CD5" s="82" t="s">
        <v>257</v>
      </c>
      <c r="CE5" s="82" t="s">
        <v>257</v>
      </c>
      <c r="CF5" s="82" t="s">
        <v>257</v>
      </c>
      <c r="CG5" s="82" t="s">
        <v>257</v>
      </c>
      <c r="CH5" s="82" t="s">
        <v>267</v>
      </c>
      <c r="CI5" s="82" t="s">
        <v>257</v>
      </c>
      <c r="CJ5" s="82" t="s">
        <v>268</v>
      </c>
      <c r="CK5" s="2" t="s">
        <v>269</v>
      </c>
      <c r="CL5" s="82" t="s">
        <v>40</v>
      </c>
      <c r="CM5" s="82" t="s">
        <v>257</v>
      </c>
      <c r="CN5" s="82" t="s">
        <v>40</v>
      </c>
      <c r="CO5" s="82" t="s">
        <v>40</v>
      </c>
      <c r="CP5" s="82" t="s">
        <v>40</v>
      </c>
      <c r="CQ5" s="82" t="s">
        <v>40</v>
      </c>
      <c r="CR5" s="82" t="s">
        <v>40</v>
      </c>
      <c r="CS5" s="82" t="s">
        <v>40</v>
      </c>
      <c r="CT5" s="82" t="s">
        <v>40</v>
      </c>
      <c r="CU5" s="124" t="s">
        <v>270</v>
      </c>
      <c r="CV5" s="125"/>
      <c r="CW5" s="126"/>
      <c r="CX5" s="82" t="s">
        <v>271</v>
      </c>
      <c r="CY5" s="82" t="s">
        <v>262</v>
      </c>
      <c r="CZ5" s="82" t="s">
        <v>272</v>
      </c>
      <c r="DA5" s="82" t="s">
        <v>40</v>
      </c>
      <c r="DB5" s="82" t="s">
        <v>40</v>
      </c>
      <c r="DC5" s="82" t="s">
        <v>257</v>
      </c>
      <c r="DD5" s="82" t="s">
        <v>40</v>
      </c>
      <c r="DE5" s="82" t="s">
        <v>40</v>
      </c>
      <c r="DF5" s="82" t="s">
        <v>40</v>
      </c>
      <c r="DG5" s="82" t="s">
        <v>40</v>
      </c>
      <c r="DH5" s="82" t="s">
        <v>40</v>
      </c>
      <c r="DI5" s="82" t="s">
        <v>273</v>
      </c>
      <c r="DJ5" s="82" t="s">
        <v>257</v>
      </c>
      <c r="DK5" s="82" t="s">
        <v>257</v>
      </c>
      <c r="DL5" s="82" t="s">
        <v>40</v>
      </c>
      <c r="DM5" s="82" t="s">
        <v>274</v>
      </c>
      <c r="DN5" s="82" t="s">
        <v>274</v>
      </c>
      <c r="DO5" s="82" t="s">
        <v>274</v>
      </c>
      <c r="DP5" s="82" t="s">
        <v>274</v>
      </c>
      <c r="DQ5" s="82" t="s">
        <v>40</v>
      </c>
      <c r="DR5" s="124" t="s">
        <v>275</v>
      </c>
      <c r="DS5" s="125"/>
      <c r="DT5" s="125"/>
      <c r="DU5" s="125"/>
      <c r="DV5" s="125"/>
      <c r="DW5" s="126"/>
      <c r="DX5" s="82" t="s">
        <v>40</v>
      </c>
      <c r="DY5" s="124" t="s">
        <v>275</v>
      </c>
      <c r="DZ5" s="125"/>
      <c r="EA5" s="125"/>
      <c r="EB5" s="125"/>
      <c r="EC5" s="125"/>
      <c r="ED5" s="126"/>
      <c r="EE5" s="82" t="s">
        <v>40</v>
      </c>
      <c r="EF5" s="124" t="s">
        <v>275</v>
      </c>
      <c r="EG5" s="125"/>
      <c r="EH5" s="125"/>
      <c r="EI5" s="125"/>
      <c r="EJ5" s="125"/>
      <c r="EK5" s="126"/>
      <c r="EL5" s="82" t="s">
        <v>40</v>
      </c>
      <c r="EM5" s="82" t="s">
        <v>276</v>
      </c>
      <c r="EN5" s="82" t="s">
        <v>257</v>
      </c>
      <c r="EO5" s="124" t="s">
        <v>277</v>
      </c>
      <c r="EP5" s="125"/>
      <c r="EQ5" s="126"/>
      <c r="ER5" s="124" t="s">
        <v>278</v>
      </c>
      <c r="ES5" s="126"/>
      <c r="ET5" s="82" t="s">
        <v>40</v>
      </c>
      <c r="EU5" s="82" t="s">
        <v>40</v>
      </c>
      <c r="EV5" s="82" t="s">
        <v>257</v>
      </c>
      <c r="EW5" s="124" t="s">
        <v>270</v>
      </c>
      <c r="EX5" s="125"/>
      <c r="EY5" s="126"/>
      <c r="EZ5" s="124" t="s">
        <v>275</v>
      </c>
      <c r="FA5" s="126"/>
      <c r="FB5" s="82" t="s">
        <v>40</v>
      </c>
      <c r="FC5" s="82" t="s">
        <v>248</v>
      </c>
      <c r="FD5" s="82" t="s">
        <v>257</v>
      </c>
      <c r="FE5" s="82" t="s">
        <v>270</v>
      </c>
      <c r="FF5" s="82" t="s">
        <v>279</v>
      </c>
      <c r="FG5" s="82" t="s">
        <v>40</v>
      </c>
      <c r="FH5" s="82" t="s">
        <v>280</v>
      </c>
      <c r="FI5" s="82" t="s">
        <v>248</v>
      </c>
      <c r="FJ5" s="82" t="s">
        <v>40</v>
      </c>
      <c r="FK5" s="82" t="s">
        <v>281</v>
      </c>
      <c r="FL5" s="82" t="s">
        <v>248</v>
      </c>
      <c r="FM5" s="82" t="s">
        <v>282</v>
      </c>
      <c r="FN5" s="82" t="s">
        <v>283</v>
      </c>
      <c r="FO5" s="82" t="s">
        <v>284</v>
      </c>
      <c r="FP5" s="125" t="s">
        <v>285</v>
      </c>
      <c r="FQ5" s="125"/>
      <c r="FR5" s="125"/>
      <c r="FS5" s="126"/>
      <c r="FT5" s="82" t="s">
        <v>40</v>
      </c>
      <c r="FU5" s="82" t="s">
        <v>286</v>
      </c>
      <c r="FV5" s="82" t="s">
        <v>40</v>
      </c>
      <c r="FW5" s="33" t="s">
        <v>287</v>
      </c>
      <c r="FX5" s="82" t="s">
        <v>40</v>
      </c>
      <c r="FY5" s="92" t="s">
        <v>288</v>
      </c>
      <c r="FZ5" s="93" t="s">
        <v>289</v>
      </c>
      <c r="GA5" s="93" t="s">
        <v>289</v>
      </c>
      <c r="GB5" s="93" t="s">
        <v>290</v>
      </c>
      <c r="GC5" s="82" t="s">
        <v>40</v>
      </c>
      <c r="GD5" s="82" t="str">
        <f>VLOOKUP(Start!$H$22,Header_Data!$A2:$GZ31,185,FALSE)</f>
        <v>(J/N)</v>
      </c>
    </row>
    <row r="6" spans="1:191" s="13" customFormat="1" ht="86.25" customHeight="1" outlineLevel="2" x14ac:dyDescent="0.3">
      <c r="A6" s="45">
        <v>14</v>
      </c>
      <c r="B6" s="1" t="s">
        <v>291</v>
      </c>
      <c r="C6" s="1" t="s">
        <v>292</v>
      </c>
      <c r="D6" s="1" t="s">
        <v>292</v>
      </c>
      <c r="E6" s="1" t="s">
        <v>292</v>
      </c>
      <c r="F6" s="1" t="s">
        <v>292</v>
      </c>
      <c r="G6" s="23" t="s">
        <v>293</v>
      </c>
      <c r="H6" s="70" t="s">
        <v>41</v>
      </c>
      <c r="I6" s="70" t="s">
        <v>41</v>
      </c>
      <c r="J6" s="70" t="s">
        <v>41</v>
      </c>
      <c r="K6" s="70" t="s">
        <v>41</v>
      </c>
      <c r="L6" s="1" t="s">
        <v>294</v>
      </c>
      <c r="M6" s="70" t="s">
        <v>41</v>
      </c>
      <c r="N6" s="70" t="s">
        <v>41</v>
      </c>
      <c r="O6" s="1" t="s">
        <v>292</v>
      </c>
      <c r="P6" s="1" t="s">
        <v>292</v>
      </c>
      <c r="Q6" s="1" t="s">
        <v>292</v>
      </c>
      <c r="R6" s="1" t="s">
        <v>292</v>
      </c>
      <c r="S6" s="1" t="s">
        <v>292</v>
      </c>
      <c r="T6" s="1" t="s">
        <v>292</v>
      </c>
      <c r="U6" s="1" t="s">
        <v>292</v>
      </c>
      <c r="V6" s="1" t="s">
        <v>295</v>
      </c>
      <c r="W6" s="70" t="s">
        <v>41</v>
      </c>
      <c r="X6" s="70" t="s">
        <v>41</v>
      </c>
      <c r="Y6" s="70" t="s">
        <v>41</v>
      </c>
      <c r="Z6" s="70" t="s">
        <v>41</v>
      </c>
      <c r="AA6" s="70" t="s">
        <v>41</v>
      </c>
      <c r="AB6" s="70" t="s">
        <v>41</v>
      </c>
      <c r="AC6" s="70" t="s">
        <v>41</v>
      </c>
      <c r="AD6" s="70" t="s">
        <v>41</v>
      </c>
      <c r="AE6" s="70" t="s">
        <v>41</v>
      </c>
      <c r="AF6" s="70" t="s">
        <v>41</v>
      </c>
      <c r="AG6" s="1" t="s">
        <v>296</v>
      </c>
      <c r="AH6" s="70" t="s">
        <v>41</v>
      </c>
      <c r="AI6" s="1" t="s">
        <v>297</v>
      </c>
      <c r="AJ6" s="1" t="s">
        <v>292</v>
      </c>
      <c r="AK6" s="1" t="s">
        <v>292</v>
      </c>
      <c r="AL6" s="1" t="s">
        <v>298</v>
      </c>
      <c r="AM6" s="70" t="s">
        <v>41</v>
      </c>
      <c r="AN6" s="1" t="s">
        <v>299</v>
      </c>
      <c r="AO6" s="70" t="s">
        <v>41</v>
      </c>
      <c r="AP6" s="1" t="s">
        <v>294</v>
      </c>
      <c r="AQ6" s="70" t="s">
        <v>41</v>
      </c>
      <c r="AR6" s="70" t="s">
        <v>41</v>
      </c>
      <c r="AS6" s="70" t="s">
        <v>41</v>
      </c>
      <c r="AT6" s="70" t="s">
        <v>41</v>
      </c>
      <c r="AU6" s="70" t="s">
        <v>41</v>
      </c>
      <c r="AV6" s="70" t="s">
        <v>41</v>
      </c>
      <c r="AW6" s="1" t="s">
        <v>294</v>
      </c>
      <c r="AX6" s="70" t="s">
        <v>41</v>
      </c>
      <c r="AY6" s="70" t="s">
        <v>41</v>
      </c>
      <c r="AZ6" s="70" t="s">
        <v>41</v>
      </c>
      <c r="BA6" s="70" t="s">
        <v>41</v>
      </c>
      <c r="BB6" s="70" t="s">
        <v>41</v>
      </c>
      <c r="BC6" s="70" t="s">
        <v>41</v>
      </c>
      <c r="BD6" s="70" t="s">
        <v>41</v>
      </c>
      <c r="BE6" s="70" t="s">
        <v>41</v>
      </c>
      <c r="BF6" s="70" t="s">
        <v>41</v>
      </c>
      <c r="BG6" s="70" t="s">
        <v>41</v>
      </c>
      <c r="BH6" s="70" t="s">
        <v>41</v>
      </c>
      <c r="BI6" s="1" t="s">
        <v>300</v>
      </c>
      <c r="BJ6" s="70" t="s">
        <v>41</v>
      </c>
      <c r="BK6" s="70" t="s">
        <v>41</v>
      </c>
      <c r="BL6" s="70" t="s">
        <v>41</v>
      </c>
      <c r="BM6" s="1" t="s">
        <v>299</v>
      </c>
      <c r="BN6" s="70" t="s">
        <v>41</v>
      </c>
      <c r="BO6" s="1" t="s">
        <v>299</v>
      </c>
      <c r="BP6" s="70" t="s">
        <v>41</v>
      </c>
      <c r="BQ6" s="1" t="s">
        <v>292</v>
      </c>
      <c r="BR6" s="1" t="s">
        <v>292</v>
      </c>
      <c r="BS6" s="1" t="s">
        <v>292</v>
      </c>
      <c r="BT6" s="1" t="s">
        <v>294</v>
      </c>
      <c r="BU6" s="70" t="s">
        <v>41</v>
      </c>
      <c r="BV6" s="70" t="s">
        <v>41</v>
      </c>
      <c r="BW6" s="1" t="s">
        <v>294</v>
      </c>
      <c r="BX6" s="70" t="s">
        <v>41</v>
      </c>
      <c r="BY6" s="70" t="s">
        <v>41</v>
      </c>
      <c r="BZ6" s="70" t="s">
        <v>41</v>
      </c>
      <c r="CA6" s="70" t="s">
        <v>41</v>
      </c>
      <c r="CB6" s="70" t="s">
        <v>41</v>
      </c>
      <c r="CC6" s="70" t="s">
        <v>41</v>
      </c>
      <c r="CD6" s="70" t="s">
        <v>41</v>
      </c>
      <c r="CE6" s="70" t="s">
        <v>41</v>
      </c>
      <c r="CF6" s="70" t="s">
        <v>41</v>
      </c>
      <c r="CG6" s="70" t="s">
        <v>41</v>
      </c>
      <c r="CH6" s="70" t="s">
        <v>41</v>
      </c>
      <c r="CI6" s="70" t="s">
        <v>41</v>
      </c>
      <c r="CJ6" s="70" t="s">
        <v>41</v>
      </c>
      <c r="CK6" s="70" t="s">
        <v>41</v>
      </c>
      <c r="CL6" s="70" t="s">
        <v>41</v>
      </c>
      <c r="CM6" s="70" t="s">
        <v>41</v>
      </c>
      <c r="CN6" s="70" t="s">
        <v>41</v>
      </c>
      <c r="CO6" s="1" t="s">
        <v>292</v>
      </c>
      <c r="CP6" s="1" t="s">
        <v>294</v>
      </c>
      <c r="CQ6" s="70" t="s">
        <v>41</v>
      </c>
      <c r="CR6" s="70" t="s">
        <v>41</v>
      </c>
      <c r="CS6" s="70" t="s">
        <v>41</v>
      </c>
      <c r="CT6" s="1" t="s">
        <v>294</v>
      </c>
      <c r="CU6" s="70" t="s">
        <v>41</v>
      </c>
      <c r="CV6" s="70" t="s">
        <v>41</v>
      </c>
      <c r="CW6" s="70" t="s">
        <v>41</v>
      </c>
      <c r="CX6" s="70" t="s">
        <v>41</v>
      </c>
      <c r="CY6" s="70" t="s">
        <v>41</v>
      </c>
      <c r="CZ6" s="70" t="s">
        <v>41</v>
      </c>
      <c r="DA6" s="70" t="s">
        <v>41</v>
      </c>
      <c r="DB6" s="1" t="s">
        <v>299</v>
      </c>
      <c r="DC6" s="70" t="s">
        <v>41</v>
      </c>
      <c r="DD6" s="1" t="s">
        <v>294</v>
      </c>
      <c r="DE6" s="70" t="s">
        <v>41</v>
      </c>
      <c r="DF6" s="70" t="s">
        <v>41</v>
      </c>
      <c r="DG6" s="1" t="s">
        <v>301</v>
      </c>
      <c r="DH6" s="70" t="s">
        <v>41</v>
      </c>
      <c r="DI6" s="70" t="s">
        <v>41</v>
      </c>
      <c r="DJ6" s="70" t="s">
        <v>41</v>
      </c>
      <c r="DK6" s="70" t="s">
        <v>41</v>
      </c>
      <c r="DL6" s="1" t="s">
        <v>294</v>
      </c>
      <c r="DM6" s="70" t="s">
        <v>41</v>
      </c>
      <c r="DN6" s="70" t="s">
        <v>41</v>
      </c>
      <c r="DO6" s="70" t="s">
        <v>41</v>
      </c>
      <c r="DP6" s="70" t="s">
        <v>41</v>
      </c>
      <c r="DQ6" s="36" t="s">
        <v>302</v>
      </c>
      <c r="DR6" s="70" t="s">
        <v>41</v>
      </c>
      <c r="DS6" s="70" t="s">
        <v>41</v>
      </c>
      <c r="DT6" s="70" t="s">
        <v>41</v>
      </c>
      <c r="DU6" s="70" t="s">
        <v>41</v>
      </c>
      <c r="DV6" s="70" t="s">
        <v>41</v>
      </c>
      <c r="DW6" s="70" t="s">
        <v>41</v>
      </c>
      <c r="DX6" s="70" t="s">
        <v>41</v>
      </c>
      <c r="DY6" s="70" t="s">
        <v>41</v>
      </c>
      <c r="DZ6" s="70" t="s">
        <v>41</v>
      </c>
      <c r="EA6" s="70" t="s">
        <v>41</v>
      </c>
      <c r="EB6" s="70" t="s">
        <v>41</v>
      </c>
      <c r="EC6" s="70" t="s">
        <v>41</v>
      </c>
      <c r="ED6" s="70" t="s">
        <v>41</v>
      </c>
      <c r="EE6" s="70" t="s">
        <v>41</v>
      </c>
      <c r="EF6" s="70" t="s">
        <v>41</v>
      </c>
      <c r="EG6" s="70" t="s">
        <v>41</v>
      </c>
      <c r="EH6" s="70" t="s">
        <v>41</v>
      </c>
      <c r="EI6" s="70" t="s">
        <v>41</v>
      </c>
      <c r="EJ6" s="70" t="s">
        <v>41</v>
      </c>
      <c r="EK6" s="70" t="s">
        <v>41</v>
      </c>
      <c r="EL6" s="70" t="s">
        <v>41</v>
      </c>
      <c r="EM6" s="1" t="s">
        <v>292</v>
      </c>
      <c r="EN6" s="1" t="s">
        <v>292</v>
      </c>
      <c r="EO6" s="1" t="s">
        <v>292</v>
      </c>
      <c r="EP6" s="1" t="s">
        <v>292</v>
      </c>
      <c r="EQ6" s="1" t="s">
        <v>292</v>
      </c>
      <c r="ER6" s="1" t="s">
        <v>292</v>
      </c>
      <c r="ES6" s="1" t="s">
        <v>292</v>
      </c>
      <c r="ET6" s="1" t="s">
        <v>303</v>
      </c>
      <c r="EU6" s="70" t="s">
        <v>41</v>
      </c>
      <c r="EV6" s="70" t="s">
        <v>41</v>
      </c>
      <c r="EW6" s="70" t="s">
        <v>41</v>
      </c>
      <c r="EX6" s="70" t="s">
        <v>41</v>
      </c>
      <c r="EY6" s="70" t="s">
        <v>41</v>
      </c>
      <c r="EZ6" s="70" t="s">
        <v>41</v>
      </c>
      <c r="FA6" s="70" t="s">
        <v>41</v>
      </c>
      <c r="FB6" s="1" t="s">
        <v>294</v>
      </c>
      <c r="FC6" s="70" t="s">
        <v>41</v>
      </c>
      <c r="FD6" s="70" t="s">
        <v>41</v>
      </c>
      <c r="FE6" s="70" t="s">
        <v>41</v>
      </c>
      <c r="FF6" s="1" t="s">
        <v>292</v>
      </c>
      <c r="FG6" s="1" t="s">
        <v>292</v>
      </c>
      <c r="FH6" s="1" t="s">
        <v>292</v>
      </c>
      <c r="FI6" s="1" t="s">
        <v>292</v>
      </c>
      <c r="FJ6" s="1" t="s">
        <v>292</v>
      </c>
      <c r="FK6" s="36" t="s">
        <v>304</v>
      </c>
      <c r="FL6" s="70" t="s">
        <v>41</v>
      </c>
      <c r="FM6" s="1" t="s">
        <v>292</v>
      </c>
      <c r="FN6" s="1" t="s">
        <v>305</v>
      </c>
      <c r="FO6" s="70" t="s">
        <v>306</v>
      </c>
      <c r="FP6" s="70" t="s">
        <v>307</v>
      </c>
      <c r="FQ6" s="70" t="s">
        <v>308</v>
      </c>
      <c r="FR6" s="70" t="s">
        <v>41</v>
      </c>
      <c r="FS6" s="70" t="s">
        <v>41</v>
      </c>
      <c r="FT6" s="32" t="s">
        <v>294</v>
      </c>
      <c r="FU6" s="70" t="s">
        <v>41</v>
      </c>
      <c r="FV6" s="32" t="s">
        <v>294</v>
      </c>
      <c r="FW6" s="70" t="s">
        <v>41</v>
      </c>
      <c r="FX6" s="32" t="s">
        <v>309</v>
      </c>
      <c r="FY6" s="87" t="s">
        <v>41</v>
      </c>
      <c r="FZ6" s="89" t="s">
        <v>41</v>
      </c>
      <c r="GA6" s="89" t="s">
        <v>41</v>
      </c>
      <c r="GB6" s="89" t="s">
        <v>41</v>
      </c>
      <c r="GC6" s="1" t="s">
        <v>41</v>
      </c>
      <c r="GD6" s="1" t="s">
        <v>41</v>
      </c>
    </row>
    <row r="7" spans="1:191" s="13" customFormat="1" ht="29.25" customHeight="1" x14ac:dyDescent="0.3">
      <c r="A7" s="46" t="str">
        <f>Start!H18</f>
        <v>Zeilen-selektor</v>
      </c>
      <c r="B7" s="1"/>
      <c r="C7" s="54"/>
      <c r="D7" s="51" t="s">
        <v>310</v>
      </c>
      <c r="E7" s="51"/>
      <c r="F7" s="1"/>
      <c r="H7" s="53"/>
      <c r="I7" s="52" t="str">
        <f>IF(Start!$H$8=2,Start!$H$6,"")</f>
        <v/>
      </c>
      <c r="J7" s="55" t="str">
        <f>IF(Start!$H$8=2,Start!$H$10,"")</f>
        <v/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97"/>
      <c r="AS7" s="97"/>
      <c r="AT7" s="97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2"/>
      <c r="CL7" s="1"/>
      <c r="CM7" s="1"/>
      <c r="CN7" s="1"/>
      <c r="CO7" s="1"/>
      <c r="CP7" s="1"/>
      <c r="CQ7" s="1"/>
      <c r="CR7" s="1"/>
      <c r="CS7" s="1"/>
      <c r="CT7" s="1"/>
      <c r="CU7" s="1"/>
      <c r="CV7" s="97"/>
      <c r="CW7" s="97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36"/>
      <c r="DR7" s="1"/>
      <c r="DS7" s="1"/>
      <c r="DT7" s="1"/>
      <c r="DU7" s="1"/>
      <c r="DV7" s="1"/>
      <c r="DW7" s="1"/>
      <c r="DX7" s="1"/>
      <c r="DY7" s="1"/>
      <c r="DZ7" s="97"/>
      <c r="EA7" s="97"/>
      <c r="EB7" s="97"/>
      <c r="EC7" s="97"/>
      <c r="ED7" s="97"/>
      <c r="EE7" s="1"/>
      <c r="EF7" s="1"/>
      <c r="EG7" s="97"/>
      <c r="EH7" s="97"/>
      <c r="EI7" s="97"/>
      <c r="EJ7" s="97"/>
      <c r="EK7" s="97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97"/>
      <c r="EY7" s="97"/>
      <c r="EZ7" s="1"/>
      <c r="FA7" s="97"/>
      <c r="FB7" s="1"/>
      <c r="FC7" s="1"/>
      <c r="FD7" s="1"/>
      <c r="FE7" s="1"/>
      <c r="FF7" s="1"/>
      <c r="FG7" s="1"/>
      <c r="FH7" s="1"/>
      <c r="FI7" s="1"/>
      <c r="FJ7" s="1"/>
      <c r="FK7" s="36"/>
      <c r="FL7" s="1"/>
      <c r="FM7" s="1"/>
      <c r="FN7" s="1"/>
      <c r="FO7" s="1"/>
      <c r="FP7" s="97"/>
      <c r="FQ7" s="97"/>
      <c r="FR7" s="97"/>
      <c r="FS7" s="97"/>
      <c r="FT7" s="1"/>
      <c r="FU7" s="1"/>
      <c r="FV7" s="1"/>
      <c r="FW7" s="31"/>
      <c r="FX7" s="1"/>
      <c r="FY7" s="88"/>
      <c r="FZ7" s="89"/>
      <c r="GA7" s="89"/>
      <c r="GB7" s="89"/>
    </row>
    <row r="8" spans="1:191" s="7" customFormat="1" ht="74.25" customHeight="1" outlineLevel="1" x14ac:dyDescent="0.3">
      <c r="A8" s="45">
        <v>21</v>
      </c>
      <c r="B8" s="131" t="s">
        <v>311</v>
      </c>
      <c r="C8" s="127" t="s">
        <v>312</v>
      </c>
      <c r="D8" s="141"/>
      <c r="E8" s="141"/>
      <c r="F8" s="127" t="s">
        <v>313</v>
      </c>
      <c r="G8" s="127" t="s">
        <v>73</v>
      </c>
      <c r="H8" s="131" t="s">
        <v>314</v>
      </c>
      <c r="I8" s="131" t="s">
        <v>315</v>
      </c>
      <c r="J8" s="131" t="s">
        <v>316</v>
      </c>
      <c r="K8" s="131" t="s">
        <v>317</v>
      </c>
      <c r="L8" s="127" t="s">
        <v>318</v>
      </c>
      <c r="M8" s="131" t="s">
        <v>319</v>
      </c>
      <c r="N8" s="131" t="s">
        <v>320</v>
      </c>
      <c r="O8" s="127" t="s">
        <v>321</v>
      </c>
      <c r="P8" s="127" t="s">
        <v>322</v>
      </c>
      <c r="Q8" s="127" t="s">
        <v>323</v>
      </c>
      <c r="R8" s="127" t="s">
        <v>324</v>
      </c>
      <c r="S8" s="127" t="s">
        <v>325</v>
      </c>
      <c r="T8" s="127" t="s">
        <v>326</v>
      </c>
      <c r="U8" s="127" t="s">
        <v>327</v>
      </c>
      <c r="V8" s="127" t="s">
        <v>328</v>
      </c>
      <c r="W8" s="131" t="s">
        <v>329</v>
      </c>
      <c r="X8" s="131" t="s">
        <v>330</v>
      </c>
      <c r="Y8" s="131" t="s">
        <v>331</v>
      </c>
      <c r="Z8" s="131" t="s">
        <v>332</v>
      </c>
      <c r="AA8" s="131" t="s">
        <v>333</v>
      </c>
      <c r="AB8" s="131" t="s">
        <v>334</v>
      </c>
      <c r="AC8" s="131" t="s">
        <v>335</v>
      </c>
      <c r="AD8" s="131" t="s">
        <v>336</v>
      </c>
      <c r="AE8" s="131" t="s">
        <v>337</v>
      </c>
      <c r="AF8" s="131" t="s">
        <v>338</v>
      </c>
      <c r="AG8" s="127" t="s">
        <v>339</v>
      </c>
      <c r="AH8" s="131" t="s">
        <v>340</v>
      </c>
      <c r="AI8" s="127" t="s">
        <v>341</v>
      </c>
      <c r="AJ8" s="127" t="s">
        <v>342</v>
      </c>
      <c r="AK8" s="127" t="s">
        <v>343</v>
      </c>
      <c r="AL8" s="127" t="s">
        <v>344</v>
      </c>
      <c r="AM8" s="131" t="s">
        <v>345</v>
      </c>
      <c r="AN8" s="127" t="s">
        <v>346</v>
      </c>
      <c r="AO8" s="131" t="s">
        <v>347</v>
      </c>
      <c r="AP8" s="127" t="s">
        <v>348</v>
      </c>
      <c r="AQ8" s="159" t="s">
        <v>349</v>
      </c>
      <c r="AR8" s="148"/>
      <c r="AS8" s="159" t="s">
        <v>350</v>
      </c>
      <c r="AT8" s="148"/>
      <c r="AU8" s="131" t="s">
        <v>351</v>
      </c>
      <c r="AV8" s="131" t="s">
        <v>352</v>
      </c>
      <c r="AW8" s="127" t="s">
        <v>353</v>
      </c>
      <c r="AX8" s="131" t="s">
        <v>354</v>
      </c>
      <c r="AY8" s="131" t="s">
        <v>355</v>
      </c>
      <c r="AZ8" s="131" t="s">
        <v>356</v>
      </c>
      <c r="BA8" s="131" t="s">
        <v>357</v>
      </c>
      <c r="BB8" s="131" t="s">
        <v>358</v>
      </c>
      <c r="BC8" s="131" t="s">
        <v>359</v>
      </c>
      <c r="BD8" s="131" t="s">
        <v>360</v>
      </c>
      <c r="BE8" s="131" t="s">
        <v>361</v>
      </c>
      <c r="BF8" s="131" t="s">
        <v>362</v>
      </c>
      <c r="BG8" s="131" t="s">
        <v>363</v>
      </c>
      <c r="BH8" s="131" t="s">
        <v>364</v>
      </c>
      <c r="BI8" s="127" t="s">
        <v>365</v>
      </c>
      <c r="BJ8" s="131" t="s">
        <v>366</v>
      </c>
      <c r="BK8" s="131" t="s">
        <v>367</v>
      </c>
      <c r="BL8" s="131" t="s">
        <v>368</v>
      </c>
      <c r="BM8" s="127" t="s">
        <v>369</v>
      </c>
      <c r="BN8" s="131" t="s">
        <v>370</v>
      </c>
      <c r="BO8" s="127" t="s">
        <v>371</v>
      </c>
      <c r="BP8" s="131" t="s">
        <v>372</v>
      </c>
      <c r="BQ8" s="127" t="s">
        <v>373</v>
      </c>
      <c r="BR8" s="127" t="s">
        <v>374</v>
      </c>
      <c r="BS8" s="127" t="s">
        <v>375</v>
      </c>
      <c r="BT8" s="127" t="s">
        <v>376</v>
      </c>
      <c r="BU8" s="131" t="s">
        <v>377</v>
      </c>
      <c r="BV8" s="131" t="s">
        <v>378</v>
      </c>
      <c r="BW8" s="127" t="s">
        <v>379</v>
      </c>
      <c r="BX8" s="131" t="s">
        <v>380</v>
      </c>
      <c r="BY8" s="131" t="s">
        <v>381</v>
      </c>
      <c r="BZ8" s="131" t="s">
        <v>382</v>
      </c>
      <c r="CA8" s="131" t="s">
        <v>383</v>
      </c>
      <c r="CB8" s="131" t="s">
        <v>384</v>
      </c>
      <c r="CC8" s="131" t="s">
        <v>385</v>
      </c>
      <c r="CD8" s="131" t="s">
        <v>386</v>
      </c>
      <c r="CE8" s="131" t="s">
        <v>387</v>
      </c>
      <c r="CF8" s="131" t="s">
        <v>388</v>
      </c>
      <c r="CG8" s="131" t="s">
        <v>389</v>
      </c>
      <c r="CH8" s="131" t="s">
        <v>390</v>
      </c>
      <c r="CI8" s="131" t="s">
        <v>391</v>
      </c>
      <c r="CJ8" s="131" t="s">
        <v>392</v>
      </c>
      <c r="CK8" s="131" t="s">
        <v>393</v>
      </c>
      <c r="CL8" s="131" t="s">
        <v>394</v>
      </c>
      <c r="CM8" s="131" t="s">
        <v>395</v>
      </c>
      <c r="CN8" s="131" t="s">
        <v>396</v>
      </c>
      <c r="CO8" s="127" t="s">
        <v>397</v>
      </c>
      <c r="CP8" s="127" t="s">
        <v>398</v>
      </c>
      <c r="CQ8" s="131" t="s">
        <v>399</v>
      </c>
      <c r="CR8" s="131" t="s">
        <v>400</v>
      </c>
      <c r="CS8" s="131" t="s">
        <v>401</v>
      </c>
      <c r="CT8" s="127" t="s">
        <v>402</v>
      </c>
      <c r="CU8" s="154" t="s">
        <v>403</v>
      </c>
      <c r="CV8" s="155"/>
      <c r="CW8" s="155"/>
      <c r="CX8" s="131" t="s">
        <v>404</v>
      </c>
      <c r="CY8" s="131" t="s">
        <v>405</v>
      </c>
      <c r="CZ8" s="131" t="s">
        <v>406</v>
      </c>
      <c r="DA8" s="131" t="s">
        <v>407</v>
      </c>
      <c r="DB8" s="6"/>
      <c r="DC8" s="114" t="s">
        <v>408</v>
      </c>
      <c r="DD8" s="6"/>
      <c r="DE8" s="131" t="s">
        <v>409</v>
      </c>
      <c r="DF8" s="131" t="s">
        <v>410</v>
      </c>
      <c r="DG8" s="6"/>
      <c r="DH8" s="131" t="s">
        <v>411</v>
      </c>
      <c r="DI8" s="131" t="s">
        <v>412</v>
      </c>
      <c r="DJ8" s="131" t="s">
        <v>413</v>
      </c>
      <c r="DK8" s="131" t="s">
        <v>414</v>
      </c>
      <c r="DL8" s="127" t="s">
        <v>415</v>
      </c>
      <c r="DM8" s="131" t="s">
        <v>416</v>
      </c>
      <c r="DN8" s="131" t="s">
        <v>417</v>
      </c>
      <c r="DO8" s="131" t="s">
        <v>418</v>
      </c>
      <c r="DP8" s="131" t="s">
        <v>419</v>
      </c>
      <c r="DQ8" s="127" t="s">
        <v>420</v>
      </c>
      <c r="DR8" s="131" t="s">
        <v>655</v>
      </c>
      <c r="DS8" s="132"/>
      <c r="DT8" s="132"/>
      <c r="DU8" s="132"/>
      <c r="DV8" s="132"/>
      <c r="DW8" s="132"/>
      <c r="DX8" s="131" t="s">
        <v>656</v>
      </c>
      <c r="DY8" s="131" t="s">
        <v>657</v>
      </c>
      <c r="DZ8" s="131"/>
      <c r="EA8" s="131"/>
      <c r="EB8" s="131"/>
      <c r="EC8" s="131"/>
      <c r="ED8" s="131"/>
      <c r="EE8" s="131" t="s">
        <v>658</v>
      </c>
      <c r="EF8" s="131" t="s">
        <v>659</v>
      </c>
      <c r="EG8" s="131"/>
      <c r="EH8" s="131"/>
      <c r="EI8" s="131"/>
      <c r="EJ8" s="131"/>
      <c r="EK8" s="131"/>
      <c r="EL8" s="131" t="s">
        <v>660</v>
      </c>
      <c r="EM8" s="127" t="s">
        <v>421</v>
      </c>
      <c r="EN8" s="127" t="s">
        <v>422</v>
      </c>
      <c r="EO8" s="152" t="s">
        <v>423</v>
      </c>
      <c r="EP8" s="152"/>
      <c r="EQ8" s="152"/>
      <c r="ER8" s="152"/>
      <c r="ES8" s="153"/>
      <c r="ET8" s="127" t="s">
        <v>424</v>
      </c>
      <c r="EU8" s="131" t="s">
        <v>425</v>
      </c>
      <c r="EV8" s="131" t="s">
        <v>426</v>
      </c>
      <c r="EW8" s="149" t="s">
        <v>427</v>
      </c>
      <c r="EX8" s="150"/>
      <c r="EY8" s="150"/>
      <c r="EZ8" s="150"/>
      <c r="FA8" s="151"/>
      <c r="FB8" s="127" t="s">
        <v>428</v>
      </c>
      <c r="FC8" s="131" t="s">
        <v>429</v>
      </c>
      <c r="FD8" s="131" t="s">
        <v>430</v>
      </c>
      <c r="FE8" s="131" t="s">
        <v>431</v>
      </c>
      <c r="FF8" s="127" t="s">
        <v>432</v>
      </c>
      <c r="FG8" s="127" t="s">
        <v>433</v>
      </c>
      <c r="FH8" s="127" t="s">
        <v>434</v>
      </c>
      <c r="FI8" s="127" t="s">
        <v>435</v>
      </c>
      <c r="FJ8" s="127" t="s">
        <v>436</v>
      </c>
      <c r="FK8" s="131" t="s">
        <v>437</v>
      </c>
      <c r="FL8" s="131" t="s">
        <v>438</v>
      </c>
      <c r="FM8" s="127" t="s">
        <v>439</v>
      </c>
      <c r="FN8" s="127" t="s">
        <v>440</v>
      </c>
      <c r="FO8" s="131" t="s">
        <v>441</v>
      </c>
      <c r="FP8" s="131" t="s">
        <v>442</v>
      </c>
      <c r="FQ8" s="131" t="s">
        <v>443</v>
      </c>
      <c r="FR8" s="131" t="s">
        <v>444</v>
      </c>
      <c r="FS8" s="131" t="s">
        <v>445</v>
      </c>
      <c r="FT8" s="127" t="s">
        <v>446</v>
      </c>
      <c r="FU8" s="131" t="s">
        <v>447</v>
      </c>
      <c r="FV8" s="127" t="s">
        <v>448</v>
      </c>
      <c r="FW8" s="135" t="s">
        <v>449</v>
      </c>
      <c r="FX8" s="127" t="s">
        <v>450</v>
      </c>
      <c r="FY8" s="137" t="s">
        <v>451</v>
      </c>
      <c r="FZ8" s="137" t="s">
        <v>452</v>
      </c>
      <c r="GA8" s="137" t="s">
        <v>453</v>
      </c>
      <c r="GB8" s="137" t="s">
        <v>454</v>
      </c>
      <c r="GC8" s="137" t="s">
        <v>675</v>
      </c>
      <c r="GD8" s="127" t="s">
        <v>693</v>
      </c>
    </row>
    <row r="9" spans="1:191" s="7" customFormat="1" ht="58.5" customHeight="1" outlineLevel="1" x14ac:dyDescent="0.3">
      <c r="A9" s="45">
        <v>22</v>
      </c>
      <c r="B9" s="132"/>
      <c r="C9" s="99" t="s">
        <v>215</v>
      </c>
      <c r="D9" s="99" t="s">
        <v>455</v>
      </c>
      <c r="E9" s="99" t="s">
        <v>456</v>
      </c>
      <c r="F9" s="128"/>
      <c r="G9" s="128"/>
      <c r="H9" s="132"/>
      <c r="I9" s="132"/>
      <c r="J9" s="132"/>
      <c r="K9" s="132"/>
      <c r="L9" s="128"/>
      <c r="M9" s="132"/>
      <c r="N9" s="132"/>
      <c r="O9" s="128"/>
      <c r="P9" s="128"/>
      <c r="Q9" s="128"/>
      <c r="R9" s="128"/>
      <c r="S9" s="128"/>
      <c r="T9" s="128"/>
      <c r="U9" s="128"/>
      <c r="V9" s="128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28"/>
      <c r="AH9" s="132"/>
      <c r="AI9" s="128"/>
      <c r="AJ9" s="128"/>
      <c r="AK9" s="128"/>
      <c r="AL9" s="128"/>
      <c r="AM9" s="132"/>
      <c r="AN9" s="128"/>
      <c r="AO9" s="132"/>
      <c r="AP9" s="128"/>
      <c r="AQ9" s="100" t="s">
        <v>218</v>
      </c>
      <c r="AR9" s="14" t="s">
        <v>219</v>
      </c>
      <c r="AS9" s="100" t="s">
        <v>220</v>
      </c>
      <c r="AT9" s="14" t="s">
        <v>221</v>
      </c>
      <c r="AU9" s="132"/>
      <c r="AV9" s="132"/>
      <c r="AW9" s="128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28"/>
      <c r="BJ9" s="132"/>
      <c r="BK9" s="132"/>
      <c r="BL9" s="132"/>
      <c r="BM9" s="128"/>
      <c r="BN9" s="132"/>
      <c r="BO9" s="128"/>
      <c r="BP9" s="132"/>
      <c r="BQ9" s="128"/>
      <c r="BR9" s="128"/>
      <c r="BS9" s="128"/>
      <c r="BT9" s="128"/>
      <c r="BU9" s="132"/>
      <c r="BV9" s="132"/>
      <c r="BW9" s="128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28"/>
      <c r="CP9" s="128"/>
      <c r="CQ9" s="132"/>
      <c r="CR9" s="132"/>
      <c r="CS9" s="132"/>
      <c r="CT9" s="128"/>
      <c r="CU9" s="101" t="s">
        <v>457</v>
      </c>
      <c r="CV9" s="101" t="s">
        <v>458</v>
      </c>
      <c r="CW9" s="101" t="s">
        <v>459</v>
      </c>
      <c r="CX9" s="132"/>
      <c r="CY9" s="132"/>
      <c r="CZ9" s="132"/>
      <c r="DA9" s="132"/>
      <c r="DB9" s="99" t="s">
        <v>460</v>
      </c>
      <c r="DC9" s="119"/>
      <c r="DD9" s="99" t="s">
        <v>461</v>
      </c>
      <c r="DE9" s="132"/>
      <c r="DF9" s="132"/>
      <c r="DG9" s="99" t="s">
        <v>462</v>
      </c>
      <c r="DH9" s="132"/>
      <c r="DI9" s="132"/>
      <c r="DJ9" s="132"/>
      <c r="DK9" s="132"/>
      <c r="DL9" s="128"/>
      <c r="DM9" s="132"/>
      <c r="DN9" s="132"/>
      <c r="DO9" s="132"/>
      <c r="DP9" s="132"/>
      <c r="DQ9" s="128"/>
      <c r="DR9" s="101" t="s">
        <v>463</v>
      </c>
      <c r="DS9" s="101" t="s">
        <v>464</v>
      </c>
      <c r="DT9" s="101" t="s">
        <v>465</v>
      </c>
      <c r="DU9" s="101" t="s">
        <v>466</v>
      </c>
      <c r="DV9" s="101" t="s">
        <v>230</v>
      </c>
      <c r="DW9" s="101" t="s">
        <v>467</v>
      </c>
      <c r="DX9" s="132"/>
      <c r="DY9" s="101" t="s">
        <v>468</v>
      </c>
      <c r="DZ9" s="101" t="s">
        <v>469</v>
      </c>
      <c r="EA9" s="101" t="s">
        <v>470</v>
      </c>
      <c r="EB9" s="101" t="s">
        <v>471</v>
      </c>
      <c r="EC9" s="101" t="s">
        <v>233</v>
      </c>
      <c r="ED9" s="101" t="s">
        <v>472</v>
      </c>
      <c r="EE9" s="132"/>
      <c r="EF9" s="101" t="s">
        <v>473</v>
      </c>
      <c r="EG9" s="101" t="s">
        <v>474</v>
      </c>
      <c r="EH9" s="101" t="s">
        <v>475</v>
      </c>
      <c r="EI9" s="101" t="s">
        <v>476</v>
      </c>
      <c r="EJ9" s="101" t="s">
        <v>236</v>
      </c>
      <c r="EK9" s="101" t="s">
        <v>477</v>
      </c>
      <c r="EL9" s="132"/>
      <c r="EM9" s="128"/>
      <c r="EN9" s="128"/>
      <c r="EO9" s="15" t="s">
        <v>478</v>
      </c>
      <c r="EP9" s="15" t="s">
        <v>479</v>
      </c>
      <c r="EQ9" s="15" t="s">
        <v>480</v>
      </c>
      <c r="ER9" s="15" t="s">
        <v>481</v>
      </c>
      <c r="ES9" s="15" t="s">
        <v>482</v>
      </c>
      <c r="ET9" s="128"/>
      <c r="EU9" s="132"/>
      <c r="EV9" s="132"/>
      <c r="EW9" s="16" t="s">
        <v>483</v>
      </c>
      <c r="EX9" s="16" t="s">
        <v>484</v>
      </c>
      <c r="EY9" s="16" t="s">
        <v>485</v>
      </c>
      <c r="EZ9" s="16" t="s">
        <v>486</v>
      </c>
      <c r="FA9" s="16" t="s">
        <v>487</v>
      </c>
      <c r="FB9" s="128"/>
      <c r="FC9" s="132"/>
      <c r="FD9" s="132"/>
      <c r="FE9" s="132"/>
      <c r="FF9" s="128"/>
      <c r="FG9" s="128"/>
      <c r="FH9" s="128"/>
      <c r="FI9" s="128"/>
      <c r="FJ9" s="128"/>
      <c r="FK9" s="132"/>
      <c r="FL9" s="132"/>
      <c r="FM9" s="128"/>
      <c r="FN9" s="128"/>
      <c r="FO9" s="132"/>
      <c r="FP9" s="132"/>
      <c r="FQ9" s="132"/>
      <c r="FR9" s="132"/>
      <c r="FS9" s="132"/>
      <c r="FT9" s="128"/>
      <c r="FU9" s="140"/>
      <c r="FV9" s="128"/>
      <c r="FW9" s="136"/>
      <c r="FX9" s="128"/>
      <c r="FY9" s="137"/>
      <c r="FZ9" s="137"/>
      <c r="GA9" s="137"/>
      <c r="GB9" s="137"/>
      <c r="GC9" s="137"/>
      <c r="GD9" s="128"/>
    </row>
    <row r="10" spans="1:191" s="10" customFormat="1" ht="60" customHeight="1" outlineLevel="2" x14ac:dyDescent="0.3">
      <c r="A10" s="45">
        <v>23</v>
      </c>
      <c r="B10" s="98" t="s">
        <v>247</v>
      </c>
      <c r="C10" s="98" t="s">
        <v>488</v>
      </c>
      <c r="D10" s="98" t="s">
        <v>488</v>
      </c>
      <c r="E10" s="98" t="s">
        <v>488</v>
      </c>
      <c r="F10" s="98" t="s">
        <v>489</v>
      </c>
      <c r="G10" s="8" t="s">
        <v>490</v>
      </c>
      <c r="H10" s="98" t="s">
        <v>491</v>
      </c>
      <c r="I10" s="98" t="s">
        <v>489</v>
      </c>
      <c r="J10" s="98" t="s">
        <v>489</v>
      </c>
      <c r="K10" s="9" t="s">
        <v>492</v>
      </c>
      <c r="L10" s="98" t="s">
        <v>493</v>
      </c>
      <c r="M10" s="98" t="s">
        <v>489</v>
      </c>
      <c r="N10" s="98" t="s">
        <v>491</v>
      </c>
      <c r="O10" s="98" t="s">
        <v>488</v>
      </c>
      <c r="P10" s="98" t="s">
        <v>494</v>
      </c>
      <c r="Q10" s="98" t="s">
        <v>495</v>
      </c>
      <c r="R10" s="98" t="s">
        <v>496</v>
      </c>
      <c r="S10" s="98" t="s">
        <v>496</v>
      </c>
      <c r="T10" s="98" t="s">
        <v>497</v>
      </c>
      <c r="U10" s="98" t="s">
        <v>256</v>
      </c>
      <c r="V10" s="98" t="s">
        <v>493</v>
      </c>
      <c r="W10" s="98" t="s">
        <v>498</v>
      </c>
      <c r="X10" s="98" t="s">
        <v>498</v>
      </c>
      <c r="Y10" s="98" t="s">
        <v>498</v>
      </c>
      <c r="Z10" s="98" t="s">
        <v>498</v>
      </c>
      <c r="AA10" s="98" t="s">
        <v>491</v>
      </c>
      <c r="AB10" s="98" t="s">
        <v>491</v>
      </c>
      <c r="AC10" s="98" t="s">
        <v>491</v>
      </c>
      <c r="AD10" s="98" t="s">
        <v>491</v>
      </c>
      <c r="AE10" s="98" t="s">
        <v>498</v>
      </c>
      <c r="AF10" s="98" t="s">
        <v>498</v>
      </c>
      <c r="AG10" s="98" t="s">
        <v>499</v>
      </c>
      <c r="AH10" s="98" t="s">
        <v>491</v>
      </c>
      <c r="AI10" s="98" t="s">
        <v>500</v>
      </c>
      <c r="AJ10" s="98" t="s">
        <v>501</v>
      </c>
      <c r="AK10" s="98" t="s">
        <v>493</v>
      </c>
      <c r="AL10" s="98" t="s">
        <v>493</v>
      </c>
      <c r="AM10" s="98" t="s">
        <v>502</v>
      </c>
      <c r="AN10" s="98" t="s">
        <v>493</v>
      </c>
      <c r="AO10" s="98" t="s">
        <v>503</v>
      </c>
      <c r="AP10" s="98" t="s">
        <v>493</v>
      </c>
      <c r="AQ10" s="147" t="s">
        <v>262</v>
      </c>
      <c r="AR10" s="148"/>
      <c r="AS10" s="148"/>
      <c r="AT10" s="148"/>
      <c r="AU10" s="98" t="s">
        <v>504</v>
      </c>
      <c r="AV10" s="98" t="s">
        <v>493</v>
      </c>
      <c r="AW10" s="98" t="s">
        <v>493</v>
      </c>
      <c r="AX10" s="98" t="s">
        <v>493</v>
      </c>
      <c r="AY10" s="98" t="s">
        <v>493</v>
      </c>
      <c r="AZ10" s="98" t="s">
        <v>493</v>
      </c>
      <c r="BA10" s="98" t="s">
        <v>493</v>
      </c>
      <c r="BB10" s="98" t="s">
        <v>493</v>
      </c>
      <c r="BC10" s="98" t="s">
        <v>493</v>
      </c>
      <c r="BD10" s="98" t="s">
        <v>493</v>
      </c>
      <c r="BE10" s="98" t="s">
        <v>493</v>
      </c>
      <c r="BF10" s="98" t="s">
        <v>493</v>
      </c>
      <c r="BG10" s="98" t="s">
        <v>497</v>
      </c>
      <c r="BH10" s="98" t="s">
        <v>491</v>
      </c>
      <c r="BI10" s="98" t="s">
        <v>493</v>
      </c>
      <c r="BJ10" s="98" t="s">
        <v>264</v>
      </c>
      <c r="BK10" s="98" t="s">
        <v>493</v>
      </c>
      <c r="BL10" s="98" t="s">
        <v>493</v>
      </c>
      <c r="BM10" s="98" t="s">
        <v>493</v>
      </c>
      <c r="BN10" s="98" t="s">
        <v>493</v>
      </c>
      <c r="BO10" s="98" t="s">
        <v>493</v>
      </c>
      <c r="BP10" s="98" t="s">
        <v>498</v>
      </c>
      <c r="BQ10" s="98" t="s">
        <v>493</v>
      </c>
      <c r="BR10" s="98" t="s">
        <v>493</v>
      </c>
      <c r="BS10" s="98" t="s">
        <v>505</v>
      </c>
      <c r="BT10" s="98" t="s">
        <v>506</v>
      </c>
      <c r="BU10" s="98" t="s">
        <v>489</v>
      </c>
      <c r="BV10" s="98" t="s">
        <v>493</v>
      </c>
      <c r="BW10" s="98" t="s">
        <v>493</v>
      </c>
      <c r="BX10" s="98" t="s">
        <v>493</v>
      </c>
      <c r="BY10" s="98" t="s">
        <v>498</v>
      </c>
      <c r="BZ10" s="98" t="s">
        <v>488</v>
      </c>
      <c r="CA10" s="98" t="s">
        <v>498</v>
      </c>
      <c r="CB10" s="98" t="s">
        <v>498</v>
      </c>
      <c r="CC10" s="98" t="s">
        <v>498</v>
      </c>
      <c r="CD10" s="98" t="s">
        <v>498</v>
      </c>
      <c r="CE10" s="98" t="s">
        <v>498</v>
      </c>
      <c r="CF10" s="98" t="s">
        <v>498</v>
      </c>
      <c r="CG10" s="98" t="s">
        <v>498</v>
      </c>
      <c r="CH10" s="98" t="s">
        <v>507</v>
      </c>
      <c r="CI10" s="98" t="s">
        <v>498</v>
      </c>
      <c r="CJ10" s="98" t="s">
        <v>508</v>
      </c>
      <c r="CK10" s="9" t="s">
        <v>509</v>
      </c>
      <c r="CL10" s="98" t="s">
        <v>493</v>
      </c>
      <c r="CM10" s="98" t="s">
        <v>498</v>
      </c>
      <c r="CN10" s="98" t="s">
        <v>493</v>
      </c>
      <c r="CO10" s="98" t="s">
        <v>493</v>
      </c>
      <c r="CP10" s="98" t="s">
        <v>493</v>
      </c>
      <c r="CQ10" s="98" t="s">
        <v>493</v>
      </c>
      <c r="CR10" s="98" t="s">
        <v>493</v>
      </c>
      <c r="CS10" s="98" t="s">
        <v>493</v>
      </c>
      <c r="CT10" s="98" t="s">
        <v>493</v>
      </c>
      <c r="CU10" s="147" t="s">
        <v>510</v>
      </c>
      <c r="CV10" s="148"/>
      <c r="CW10" s="148"/>
      <c r="CX10" s="98" t="s">
        <v>511</v>
      </c>
      <c r="CY10" s="98" t="s">
        <v>262</v>
      </c>
      <c r="CZ10" s="98" t="s">
        <v>512</v>
      </c>
      <c r="DA10" s="98" t="s">
        <v>493</v>
      </c>
      <c r="DB10" s="98" t="s">
        <v>493</v>
      </c>
      <c r="DC10" s="98" t="s">
        <v>498</v>
      </c>
      <c r="DD10" s="98" t="s">
        <v>493</v>
      </c>
      <c r="DE10" s="98" t="s">
        <v>493</v>
      </c>
      <c r="DF10" s="98" t="s">
        <v>493</v>
      </c>
      <c r="DG10" s="98" t="s">
        <v>493</v>
      </c>
      <c r="DH10" s="98" t="s">
        <v>493</v>
      </c>
      <c r="DI10" s="98" t="s">
        <v>513</v>
      </c>
      <c r="DJ10" s="98" t="s">
        <v>498</v>
      </c>
      <c r="DK10" s="98" t="s">
        <v>493</v>
      </c>
      <c r="DL10" s="98" t="s">
        <v>493</v>
      </c>
      <c r="DM10" s="98" t="s">
        <v>514</v>
      </c>
      <c r="DN10" s="98" t="s">
        <v>514</v>
      </c>
      <c r="DO10" s="98" t="s">
        <v>514</v>
      </c>
      <c r="DP10" s="98" t="s">
        <v>514</v>
      </c>
      <c r="DQ10" s="98" t="s">
        <v>493</v>
      </c>
      <c r="DR10" s="147" t="s">
        <v>515</v>
      </c>
      <c r="DS10" s="147"/>
      <c r="DT10" s="147"/>
      <c r="DU10" s="147"/>
      <c r="DV10" s="147"/>
      <c r="DW10" s="147"/>
      <c r="DX10" s="98" t="s">
        <v>493</v>
      </c>
      <c r="DY10" s="147" t="s">
        <v>515</v>
      </c>
      <c r="DZ10" s="147"/>
      <c r="EA10" s="147"/>
      <c r="EB10" s="147"/>
      <c r="EC10" s="147"/>
      <c r="ED10" s="147"/>
      <c r="EE10" s="98" t="s">
        <v>493</v>
      </c>
      <c r="EF10" s="147" t="s">
        <v>515</v>
      </c>
      <c r="EG10" s="147"/>
      <c r="EH10" s="147"/>
      <c r="EI10" s="147"/>
      <c r="EJ10" s="147"/>
      <c r="EK10" s="147"/>
      <c r="EL10" s="98" t="s">
        <v>493</v>
      </c>
      <c r="EM10" s="98" t="s">
        <v>516</v>
      </c>
      <c r="EN10" s="98" t="s">
        <v>498</v>
      </c>
      <c r="EO10" s="147" t="s">
        <v>510</v>
      </c>
      <c r="EP10" s="148"/>
      <c r="EQ10" s="148"/>
      <c r="ER10" s="147" t="s">
        <v>517</v>
      </c>
      <c r="ES10" s="148"/>
      <c r="ET10" s="98" t="s">
        <v>493</v>
      </c>
      <c r="EU10" s="98" t="s">
        <v>493</v>
      </c>
      <c r="EV10" s="98" t="s">
        <v>498</v>
      </c>
      <c r="EW10" s="147" t="s">
        <v>518</v>
      </c>
      <c r="EX10" s="148"/>
      <c r="EY10" s="148"/>
      <c r="EZ10" s="147" t="s">
        <v>519</v>
      </c>
      <c r="FA10" s="148"/>
      <c r="FB10" s="98" t="s">
        <v>493</v>
      </c>
      <c r="FC10" s="98" t="s">
        <v>488</v>
      </c>
      <c r="FD10" s="98" t="s">
        <v>498</v>
      </c>
      <c r="FE10" s="98" t="s">
        <v>510</v>
      </c>
      <c r="FF10" s="98" t="s">
        <v>520</v>
      </c>
      <c r="FG10" s="98" t="s">
        <v>493</v>
      </c>
      <c r="FH10" s="98" t="s">
        <v>521</v>
      </c>
      <c r="FI10" s="98" t="s">
        <v>488</v>
      </c>
      <c r="FJ10" s="98" t="s">
        <v>493</v>
      </c>
      <c r="FK10" s="98" t="s">
        <v>281</v>
      </c>
      <c r="FL10" s="98" t="s">
        <v>488</v>
      </c>
      <c r="FM10" s="98" t="s">
        <v>522</v>
      </c>
      <c r="FN10" s="98" t="s">
        <v>523</v>
      </c>
      <c r="FO10" s="82" t="s">
        <v>524</v>
      </c>
      <c r="FP10" s="125" t="s">
        <v>525</v>
      </c>
      <c r="FQ10" s="125"/>
      <c r="FR10" s="125"/>
      <c r="FS10" s="126"/>
      <c r="FT10" s="98" t="s">
        <v>493</v>
      </c>
      <c r="FU10" s="98" t="s">
        <v>526</v>
      </c>
      <c r="FV10" s="98" t="s">
        <v>493</v>
      </c>
      <c r="FW10" s="34" t="s">
        <v>287</v>
      </c>
      <c r="FX10" s="98" t="s">
        <v>493</v>
      </c>
      <c r="FY10" s="98" t="s">
        <v>527</v>
      </c>
      <c r="FZ10" s="98" t="s">
        <v>491</v>
      </c>
      <c r="GA10" s="98" t="s">
        <v>491</v>
      </c>
      <c r="GB10" s="98" t="s">
        <v>489</v>
      </c>
      <c r="GC10" s="82" t="s">
        <v>40</v>
      </c>
      <c r="GD10" s="82" t="s">
        <v>40</v>
      </c>
    </row>
    <row r="11" spans="1:191" s="10" customFormat="1" ht="72" customHeight="1" outlineLevel="2" x14ac:dyDescent="0.3">
      <c r="A11" s="80">
        <v>24</v>
      </c>
      <c r="B11" s="17" t="s">
        <v>528</v>
      </c>
      <c r="C11" s="17" t="s">
        <v>529</v>
      </c>
      <c r="D11" s="17" t="s">
        <v>529</v>
      </c>
      <c r="E11" s="17" t="s">
        <v>529</v>
      </c>
      <c r="F11" s="17" t="s">
        <v>529</v>
      </c>
      <c r="G11" s="17" t="s">
        <v>530</v>
      </c>
      <c r="H11" s="17" t="s">
        <v>531</v>
      </c>
      <c r="I11" s="17" t="s">
        <v>531</v>
      </c>
      <c r="J11" s="17" t="s">
        <v>531</v>
      </c>
      <c r="K11" s="17" t="s">
        <v>531</v>
      </c>
      <c r="L11" s="17" t="s">
        <v>532</v>
      </c>
      <c r="M11" s="17" t="s">
        <v>531</v>
      </c>
      <c r="N11" s="17" t="s">
        <v>531</v>
      </c>
      <c r="O11" s="17" t="s">
        <v>529</v>
      </c>
      <c r="P11" s="17" t="s">
        <v>529</v>
      </c>
      <c r="Q11" s="17" t="s">
        <v>529</v>
      </c>
      <c r="R11" s="17" t="s">
        <v>529</v>
      </c>
      <c r="S11" s="17" t="s">
        <v>529</v>
      </c>
      <c r="T11" s="17" t="s">
        <v>529</v>
      </c>
      <c r="U11" s="17" t="s">
        <v>529</v>
      </c>
      <c r="V11" s="17" t="s">
        <v>533</v>
      </c>
      <c r="W11" s="17" t="s">
        <v>531</v>
      </c>
      <c r="X11" s="17" t="s">
        <v>531</v>
      </c>
      <c r="Y11" s="17" t="s">
        <v>531</v>
      </c>
      <c r="Z11" s="17" t="s">
        <v>531</v>
      </c>
      <c r="AA11" s="17" t="s">
        <v>531</v>
      </c>
      <c r="AB11" s="17" t="s">
        <v>531</v>
      </c>
      <c r="AC11" s="17" t="s">
        <v>531</v>
      </c>
      <c r="AD11" s="17" t="s">
        <v>531</v>
      </c>
      <c r="AE11" s="17" t="s">
        <v>531</v>
      </c>
      <c r="AF11" s="17" t="s">
        <v>531</v>
      </c>
      <c r="AG11" s="17" t="s">
        <v>534</v>
      </c>
      <c r="AH11" s="17" t="s">
        <v>531</v>
      </c>
      <c r="AI11" s="17" t="s">
        <v>529</v>
      </c>
      <c r="AJ11" s="17" t="s">
        <v>529</v>
      </c>
      <c r="AK11" s="17" t="s">
        <v>529</v>
      </c>
      <c r="AL11" s="17" t="s">
        <v>535</v>
      </c>
      <c r="AM11" s="17" t="s">
        <v>531</v>
      </c>
      <c r="AN11" s="17" t="s">
        <v>536</v>
      </c>
      <c r="AO11" s="17" t="s">
        <v>531</v>
      </c>
      <c r="AP11" s="17" t="s">
        <v>532</v>
      </c>
      <c r="AQ11" s="17" t="s">
        <v>531</v>
      </c>
      <c r="AR11" s="17" t="s">
        <v>531</v>
      </c>
      <c r="AS11" s="17" t="s">
        <v>531</v>
      </c>
      <c r="AT11" s="17" t="s">
        <v>531</v>
      </c>
      <c r="AU11" s="17" t="s">
        <v>531</v>
      </c>
      <c r="AV11" s="17" t="s">
        <v>531</v>
      </c>
      <c r="AW11" s="17" t="s">
        <v>532</v>
      </c>
      <c r="AX11" s="17" t="s">
        <v>531</v>
      </c>
      <c r="AY11" s="17" t="s">
        <v>531</v>
      </c>
      <c r="AZ11" s="17" t="s">
        <v>531</v>
      </c>
      <c r="BA11" s="17" t="s">
        <v>531</v>
      </c>
      <c r="BB11" s="17" t="s">
        <v>531</v>
      </c>
      <c r="BC11" s="17" t="s">
        <v>531</v>
      </c>
      <c r="BD11" s="17" t="s">
        <v>531</v>
      </c>
      <c r="BE11" s="17" t="s">
        <v>531</v>
      </c>
      <c r="BF11" s="17" t="s">
        <v>531</v>
      </c>
      <c r="BG11" s="17" t="s">
        <v>531</v>
      </c>
      <c r="BH11" s="17" t="s">
        <v>531</v>
      </c>
      <c r="BI11" s="17" t="s">
        <v>532</v>
      </c>
      <c r="BJ11" s="17" t="s">
        <v>531</v>
      </c>
      <c r="BK11" s="17" t="s">
        <v>531</v>
      </c>
      <c r="BL11" s="17" t="s">
        <v>531</v>
      </c>
      <c r="BM11" s="17" t="s">
        <v>536</v>
      </c>
      <c r="BN11" s="17" t="s">
        <v>531</v>
      </c>
      <c r="BO11" s="17" t="s">
        <v>536</v>
      </c>
      <c r="BP11" s="17" t="s">
        <v>531</v>
      </c>
      <c r="BQ11" s="17" t="s">
        <v>529</v>
      </c>
      <c r="BR11" s="17" t="s">
        <v>529</v>
      </c>
      <c r="BS11" s="17" t="s">
        <v>529</v>
      </c>
      <c r="BT11" s="17" t="s">
        <v>532</v>
      </c>
      <c r="BU11" s="17" t="s">
        <v>531</v>
      </c>
      <c r="BV11" s="17" t="s">
        <v>531</v>
      </c>
      <c r="BW11" s="17" t="s">
        <v>532</v>
      </c>
      <c r="BX11" s="17" t="s">
        <v>531</v>
      </c>
      <c r="BY11" s="17" t="s">
        <v>531</v>
      </c>
      <c r="BZ11" s="17" t="s">
        <v>531</v>
      </c>
      <c r="CA11" s="17" t="s">
        <v>531</v>
      </c>
      <c r="CB11" s="17" t="s">
        <v>531</v>
      </c>
      <c r="CC11" s="17" t="s">
        <v>531</v>
      </c>
      <c r="CD11" s="17" t="s">
        <v>531</v>
      </c>
      <c r="CE11" s="17" t="s">
        <v>531</v>
      </c>
      <c r="CF11" s="17" t="s">
        <v>531</v>
      </c>
      <c r="CG11" s="17" t="s">
        <v>531</v>
      </c>
      <c r="CH11" s="17" t="s">
        <v>531</v>
      </c>
      <c r="CI11" s="17" t="s">
        <v>531</v>
      </c>
      <c r="CJ11" s="17" t="s">
        <v>531</v>
      </c>
      <c r="CK11" s="17" t="s">
        <v>531</v>
      </c>
      <c r="CL11" s="17" t="s">
        <v>531</v>
      </c>
      <c r="CM11" s="17" t="s">
        <v>531</v>
      </c>
      <c r="CN11" s="17" t="s">
        <v>531</v>
      </c>
      <c r="CO11" s="17" t="s">
        <v>529</v>
      </c>
      <c r="CP11" s="17" t="s">
        <v>532</v>
      </c>
      <c r="CQ11" s="17" t="s">
        <v>531</v>
      </c>
      <c r="CR11" s="17" t="s">
        <v>531</v>
      </c>
      <c r="CS11" s="17" t="s">
        <v>531</v>
      </c>
      <c r="CT11" s="17" t="s">
        <v>532</v>
      </c>
      <c r="CU11" s="17" t="s">
        <v>531</v>
      </c>
      <c r="CV11" s="17" t="s">
        <v>531</v>
      </c>
      <c r="CW11" s="17" t="s">
        <v>531</v>
      </c>
      <c r="CX11" s="17" t="s">
        <v>531</v>
      </c>
      <c r="CY11" s="17" t="s">
        <v>531</v>
      </c>
      <c r="CZ11" s="17" t="s">
        <v>531</v>
      </c>
      <c r="DA11" s="17" t="s">
        <v>531</v>
      </c>
      <c r="DB11" s="17" t="s">
        <v>536</v>
      </c>
      <c r="DC11" s="17" t="s">
        <v>531</v>
      </c>
      <c r="DD11" s="17" t="s">
        <v>532</v>
      </c>
      <c r="DE11" s="17" t="s">
        <v>531</v>
      </c>
      <c r="DF11" s="17" t="s">
        <v>531</v>
      </c>
      <c r="DG11" s="17" t="s">
        <v>532</v>
      </c>
      <c r="DH11" s="17" t="s">
        <v>531</v>
      </c>
      <c r="DI11" s="17" t="s">
        <v>531</v>
      </c>
      <c r="DJ11" s="17" t="s">
        <v>531</v>
      </c>
      <c r="DK11" s="17" t="s">
        <v>531</v>
      </c>
      <c r="DL11" s="17" t="s">
        <v>532</v>
      </c>
      <c r="DM11" s="17" t="s">
        <v>531</v>
      </c>
      <c r="DN11" s="17" t="s">
        <v>531</v>
      </c>
      <c r="DO11" s="17" t="s">
        <v>531</v>
      </c>
      <c r="DP11" s="17" t="s">
        <v>531</v>
      </c>
      <c r="DQ11" s="17" t="s">
        <v>537</v>
      </c>
      <c r="DR11" s="17" t="s">
        <v>531</v>
      </c>
      <c r="DS11" s="17" t="s">
        <v>531</v>
      </c>
      <c r="DT11" s="17" t="s">
        <v>531</v>
      </c>
      <c r="DU11" s="17" t="s">
        <v>531</v>
      </c>
      <c r="DV11" s="17" t="s">
        <v>531</v>
      </c>
      <c r="DW11" s="17" t="s">
        <v>531</v>
      </c>
      <c r="DX11" s="17" t="s">
        <v>531</v>
      </c>
      <c r="DY11" s="17" t="s">
        <v>531</v>
      </c>
      <c r="DZ11" s="17" t="s">
        <v>531</v>
      </c>
      <c r="EA11" s="17" t="s">
        <v>531</v>
      </c>
      <c r="EB11" s="17" t="s">
        <v>531</v>
      </c>
      <c r="EC11" s="17" t="s">
        <v>531</v>
      </c>
      <c r="ED11" s="17" t="s">
        <v>531</v>
      </c>
      <c r="EE11" s="17" t="s">
        <v>531</v>
      </c>
      <c r="EF11" s="17" t="s">
        <v>531</v>
      </c>
      <c r="EG11" s="17" t="s">
        <v>531</v>
      </c>
      <c r="EH11" s="17" t="s">
        <v>531</v>
      </c>
      <c r="EI11" s="17" t="s">
        <v>531</v>
      </c>
      <c r="EJ11" s="17" t="s">
        <v>531</v>
      </c>
      <c r="EK11" s="17" t="s">
        <v>531</v>
      </c>
      <c r="EL11" s="17" t="s">
        <v>531</v>
      </c>
      <c r="EM11" s="17" t="s">
        <v>529</v>
      </c>
      <c r="EN11" s="17" t="s">
        <v>529</v>
      </c>
      <c r="EO11" s="17" t="s">
        <v>529</v>
      </c>
      <c r="EP11" s="17" t="s">
        <v>529</v>
      </c>
      <c r="EQ11" s="17" t="s">
        <v>529</v>
      </c>
      <c r="ER11" s="17" t="s">
        <v>529</v>
      </c>
      <c r="ES11" s="17" t="s">
        <v>529</v>
      </c>
      <c r="ET11" s="17" t="s">
        <v>532</v>
      </c>
      <c r="EU11" s="17" t="s">
        <v>531</v>
      </c>
      <c r="EV11" s="17" t="s">
        <v>531</v>
      </c>
      <c r="EW11" s="17" t="s">
        <v>531</v>
      </c>
      <c r="EX11" s="17" t="s">
        <v>531</v>
      </c>
      <c r="EY11" s="17" t="s">
        <v>531</v>
      </c>
      <c r="EZ11" s="17" t="s">
        <v>531</v>
      </c>
      <c r="FA11" s="17" t="s">
        <v>531</v>
      </c>
      <c r="FB11" s="17" t="s">
        <v>532</v>
      </c>
      <c r="FC11" s="17" t="s">
        <v>531</v>
      </c>
      <c r="FD11" s="17" t="s">
        <v>531</v>
      </c>
      <c r="FE11" s="17" t="s">
        <v>531</v>
      </c>
      <c r="FF11" s="11" t="s">
        <v>529</v>
      </c>
      <c r="FG11" s="11" t="s">
        <v>529</v>
      </c>
      <c r="FH11" s="11" t="s">
        <v>529</v>
      </c>
      <c r="FI11" s="11" t="s">
        <v>529</v>
      </c>
      <c r="FJ11" s="11" t="s">
        <v>529</v>
      </c>
      <c r="FK11" s="11" t="s">
        <v>538</v>
      </c>
      <c r="FL11" s="17" t="s">
        <v>531</v>
      </c>
      <c r="FM11" s="11" t="s">
        <v>529</v>
      </c>
      <c r="FN11" s="17" t="s">
        <v>539</v>
      </c>
      <c r="FO11" s="17" t="s">
        <v>531</v>
      </c>
      <c r="FP11" s="17" t="s">
        <v>540</v>
      </c>
      <c r="FQ11" s="17" t="s">
        <v>531</v>
      </c>
      <c r="FR11" s="17" t="s">
        <v>531</v>
      </c>
      <c r="FS11" s="17" t="s">
        <v>531</v>
      </c>
      <c r="FT11" s="11" t="s">
        <v>529</v>
      </c>
      <c r="FU11" s="17" t="s">
        <v>531</v>
      </c>
      <c r="FV11" s="11" t="s">
        <v>541</v>
      </c>
      <c r="FW11" s="17" t="s">
        <v>531</v>
      </c>
      <c r="FX11" s="11" t="s">
        <v>542</v>
      </c>
      <c r="FY11" s="17" t="s">
        <v>531</v>
      </c>
      <c r="FZ11" s="17" t="s">
        <v>531</v>
      </c>
      <c r="GA11" s="17" t="s">
        <v>531</v>
      </c>
      <c r="GB11" s="17" t="s">
        <v>531</v>
      </c>
      <c r="GC11" s="17" t="s">
        <v>531</v>
      </c>
      <c r="GD11" s="17" t="s">
        <v>531</v>
      </c>
    </row>
    <row r="12" spans="1:191" ht="14.4" customHeight="1" x14ac:dyDescent="0.3">
      <c r="CN12" t="s">
        <v>38</v>
      </c>
      <c r="FW12" s="35"/>
    </row>
    <row r="13" spans="1:191" x14ac:dyDescent="0.3">
      <c r="CN13" t="s">
        <v>38</v>
      </c>
    </row>
  </sheetData>
  <mergeCells count="326">
    <mergeCell ref="BY3:BY4"/>
    <mergeCell ref="BZ3:BZ4"/>
    <mergeCell ref="CA3:CA4"/>
    <mergeCell ref="AV3:AV4"/>
    <mergeCell ref="BP3:BP4"/>
    <mergeCell ref="CS3:CS4"/>
    <mergeCell ref="BG3:BG4"/>
    <mergeCell ref="BH3:BH4"/>
    <mergeCell ref="DC3:DC4"/>
    <mergeCell ref="BO3:BO4"/>
    <mergeCell ref="CT3:CT4"/>
    <mergeCell ref="CU3:CW3"/>
    <mergeCell ref="BT3:BT4"/>
    <mergeCell ref="BU3:BU4"/>
    <mergeCell ref="CH3:CH4"/>
    <mergeCell ref="BX3:BX4"/>
    <mergeCell ref="CC3:CC4"/>
    <mergeCell ref="CD3:CD4"/>
    <mergeCell ref="CE3:CE4"/>
    <mergeCell ref="CF3:CF4"/>
    <mergeCell ref="CO3:CO4"/>
    <mergeCell ref="CP3:CP4"/>
    <mergeCell ref="CQ3:CQ4"/>
    <mergeCell ref="CR3:CR4"/>
    <mergeCell ref="BN3:BN4"/>
    <mergeCell ref="BI3:BI4"/>
    <mergeCell ref="BJ3:BJ4"/>
    <mergeCell ref="BK3:BK4"/>
    <mergeCell ref="BL3:BL4"/>
    <mergeCell ref="BM3:BM4"/>
    <mergeCell ref="BS3:BS4"/>
    <mergeCell ref="BV3:BV4"/>
    <mergeCell ref="BW3:BW4"/>
    <mergeCell ref="CU10:CW10"/>
    <mergeCell ref="BC3:BC4"/>
    <mergeCell ref="BD3:BD4"/>
    <mergeCell ref="BF3:BF4"/>
    <mergeCell ref="BE3:BE4"/>
    <mergeCell ref="AW3:AW4"/>
    <mergeCell ref="AX3:AX4"/>
    <mergeCell ref="AY3:AY4"/>
    <mergeCell ref="AZ3:AZ4"/>
    <mergeCell ref="BA3:BA4"/>
    <mergeCell ref="BB3:BB4"/>
    <mergeCell ref="BQ3:BQ4"/>
    <mergeCell ref="BR3:BR4"/>
    <mergeCell ref="BA8:BA9"/>
    <mergeCell ref="BB8:BB9"/>
    <mergeCell ref="BT8:BT9"/>
    <mergeCell ref="BU8:BU9"/>
    <mergeCell ref="BS8:BS9"/>
    <mergeCell ref="BE8:BE9"/>
    <mergeCell ref="BF8:BF9"/>
    <mergeCell ref="BG8:BG9"/>
    <mergeCell ref="BH8:BH9"/>
    <mergeCell ref="BC8:BC9"/>
    <mergeCell ref="AW8:AW9"/>
    <mergeCell ref="AQ10:AT10"/>
    <mergeCell ref="AQ8:AR8"/>
    <mergeCell ref="AS8:AT8"/>
    <mergeCell ref="Z3:Z4"/>
    <mergeCell ref="AB3:AB4"/>
    <mergeCell ref="AC3:AC4"/>
    <mergeCell ref="AD3:AD4"/>
    <mergeCell ref="T3:T4"/>
    <mergeCell ref="U3:U4"/>
    <mergeCell ref="V3:V4"/>
    <mergeCell ref="W3:W4"/>
    <mergeCell ref="AA3:AA4"/>
    <mergeCell ref="AE3:AE4"/>
    <mergeCell ref="AK8:AK9"/>
    <mergeCell ref="AL8:AL9"/>
    <mergeCell ref="AM8:AM9"/>
    <mergeCell ref="AN8:AN9"/>
    <mergeCell ref="AF8:AF9"/>
    <mergeCell ref="AQ3:AR3"/>
    <mergeCell ref="AS3:AT3"/>
    <mergeCell ref="B3:B4"/>
    <mergeCell ref="F3:F4"/>
    <mergeCell ref="G3:G4"/>
    <mergeCell ref="O3:O4"/>
    <mergeCell ref="P3:P4"/>
    <mergeCell ref="Q3:Q4"/>
    <mergeCell ref="R3:R4"/>
    <mergeCell ref="S3:S4"/>
    <mergeCell ref="AU3:AU4"/>
    <mergeCell ref="AK3:AK4"/>
    <mergeCell ref="AL3:AL4"/>
    <mergeCell ref="AM3:AM4"/>
    <mergeCell ref="AN3:AN4"/>
    <mergeCell ref="AO3:AO4"/>
    <mergeCell ref="AP3:AP4"/>
    <mergeCell ref="X3:X4"/>
    <mergeCell ref="N3:N4"/>
    <mergeCell ref="AF3:AF4"/>
    <mergeCell ref="AG3:AG4"/>
    <mergeCell ref="AH3:AH4"/>
    <mergeCell ref="AI3:AI4"/>
    <mergeCell ref="AJ3:AJ4"/>
    <mergeCell ref="K3:K4"/>
    <mergeCell ref="Y3:Y4"/>
    <mergeCell ref="H3:H4"/>
    <mergeCell ref="I3:I4"/>
    <mergeCell ref="J3:J4"/>
    <mergeCell ref="L3:L4"/>
    <mergeCell ref="M3:M4"/>
    <mergeCell ref="FK3:FK4"/>
    <mergeCell ref="FL3:FL4"/>
    <mergeCell ref="FF3:FF4"/>
    <mergeCell ref="FG3:FG4"/>
    <mergeCell ref="FH3:FH4"/>
    <mergeCell ref="FI3:FI4"/>
    <mergeCell ref="FJ3:FJ4"/>
    <mergeCell ref="DN3:DN4"/>
    <mergeCell ref="DO3:DO4"/>
    <mergeCell ref="DL3:DL4"/>
    <mergeCell ref="EW3:FA3"/>
    <mergeCell ref="DE3:DE4"/>
    <mergeCell ref="DF3:DF4"/>
    <mergeCell ref="CB3:CB4"/>
    <mergeCell ref="DI3:DI4"/>
    <mergeCell ref="DX3:DX4"/>
    <mergeCell ref="DP3:DP4"/>
    <mergeCell ref="DQ3:DQ4"/>
    <mergeCell ref="DJ3:DJ4"/>
    <mergeCell ref="BD8:BD9"/>
    <mergeCell ref="B8:B9"/>
    <mergeCell ref="F8:F9"/>
    <mergeCell ref="G8:G9"/>
    <mergeCell ref="O8:O9"/>
    <mergeCell ref="P8:P9"/>
    <mergeCell ref="Q8:Q9"/>
    <mergeCell ref="R8:R9"/>
    <mergeCell ref="S8:S9"/>
    <mergeCell ref="N8:N9"/>
    <mergeCell ref="H8:H9"/>
    <mergeCell ref="I8:I9"/>
    <mergeCell ref="J8:J9"/>
    <mergeCell ref="L8:L9"/>
    <mergeCell ref="M8:M9"/>
    <mergeCell ref="K8:K9"/>
    <mergeCell ref="BP8:BP9"/>
    <mergeCell ref="CM8:CM9"/>
    <mergeCell ref="CN8:CN9"/>
    <mergeCell ref="CU8:CW8"/>
    <mergeCell ref="W8:W9"/>
    <mergeCell ref="AA8:AA9"/>
    <mergeCell ref="AE8:AE9"/>
    <mergeCell ref="BO8:BO9"/>
    <mergeCell ref="BQ8:BQ9"/>
    <mergeCell ref="BR8:BR9"/>
    <mergeCell ref="AU8:AU9"/>
    <mergeCell ref="AV8:AV9"/>
    <mergeCell ref="AG8:AG9"/>
    <mergeCell ref="AH8:AH9"/>
    <mergeCell ref="AI8:AI9"/>
    <mergeCell ref="AJ8:AJ9"/>
    <mergeCell ref="AO8:AO9"/>
    <mergeCell ref="AP8:AP9"/>
    <mergeCell ref="BI8:BI9"/>
    <mergeCell ref="BJ8:BJ9"/>
    <mergeCell ref="BK8:BK9"/>
    <mergeCell ref="BL8:BL9"/>
    <mergeCell ref="BM8:BM9"/>
    <mergeCell ref="BN8:BN9"/>
    <mergeCell ref="BV8:BV9"/>
    <mergeCell ref="BW8:BW9"/>
    <mergeCell ref="BY8:BY9"/>
    <mergeCell ref="BZ8:BZ9"/>
    <mergeCell ref="CA8:CA9"/>
    <mergeCell ref="CB8:CB9"/>
    <mergeCell ref="CE8:CE9"/>
    <mergeCell ref="BX8:BX9"/>
    <mergeCell ref="CC8:CC9"/>
    <mergeCell ref="CD8:CD9"/>
    <mergeCell ref="EZ10:FA10"/>
    <mergeCell ref="EW8:FA8"/>
    <mergeCell ref="EW10:EY10"/>
    <mergeCell ref="DL8:DL9"/>
    <mergeCell ref="DP8:DP9"/>
    <mergeCell ref="DQ8:DQ9"/>
    <mergeCell ref="EF10:EK10"/>
    <mergeCell ref="EO10:EQ10"/>
    <mergeCell ref="ER10:ES10"/>
    <mergeCell ref="DM8:DM9"/>
    <mergeCell ref="DN8:DN9"/>
    <mergeCell ref="DO8:DO9"/>
    <mergeCell ref="EE8:EE9"/>
    <mergeCell ref="DX8:DX9"/>
    <mergeCell ref="EL8:EL9"/>
    <mergeCell ref="DY8:ED8"/>
    <mergeCell ref="EF8:EK8"/>
    <mergeCell ref="EO8:ES8"/>
    <mergeCell ref="DY10:ED10"/>
    <mergeCell ref="DR8:DW8"/>
    <mergeCell ref="DR10:DW10"/>
    <mergeCell ref="FL8:FL9"/>
    <mergeCell ref="FF8:FF9"/>
    <mergeCell ref="FG8:FG9"/>
    <mergeCell ref="FH8:FH9"/>
    <mergeCell ref="FI8:FI9"/>
    <mergeCell ref="FJ8:FJ9"/>
    <mergeCell ref="FM3:FM4"/>
    <mergeCell ref="FN3:FN4"/>
    <mergeCell ref="FO3:FO4"/>
    <mergeCell ref="FN8:FN9"/>
    <mergeCell ref="FM8:FM9"/>
    <mergeCell ref="FK8:FK9"/>
    <mergeCell ref="FB8:FB9"/>
    <mergeCell ref="FC8:FC9"/>
    <mergeCell ref="FD8:FD9"/>
    <mergeCell ref="FB3:FB4"/>
    <mergeCell ref="FC3:FC4"/>
    <mergeCell ref="FD3:FD4"/>
    <mergeCell ref="CX8:CX9"/>
    <mergeCell ref="CY8:CY9"/>
    <mergeCell ref="CZ8:CZ9"/>
    <mergeCell ref="DA8:DA9"/>
    <mergeCell ref="DJ8:DJ9"/>
    <mergeCell ref="DK8:DK9"/>
    <mergeCell ref="EM3:EM4"/>
    <mergeCell ref="EN3:EN4"/>
    <mergeCell ref="EL3:EL4"/>
    <mergeCell ref="EE3:EE4"/>
    <mergeCell ref="DH3:DH4"/>
    <mergeCell ref="DY3:ED3"/>
    <mergeCell ref="EF3:EK3"/>
    <mergeCell ref="EF5:EK5"/>
    <mergeCell ref="DK3:DK4"/>
    <mergeCell ref="DR5:DW5"/>
    <mergeCell ref="DY5:ED5"/>
    <mergeCell ref="DE8:DE9"/>
    <mergeCell ref="CH8:CH9"/>
    <mergeCell ref="CJ3:CJ4"/>
    <mergeCell ref="CK3:CK4"/>
    <mergeCell ref="CL3:CL4"/>
    <mergeCell ref="CN3:CN4"/>
    <mergeCell ref="CM3:CM4"/>
    <mergeCell ref="CG3:CG4"/>
    <mergeCell ref="CI3:CI4"/>
    <mergeCell ref="EN8:EN9"/>
    <mergeCell ref="EO5:EQ5"/>
    <mergeCell ref="ER5:ES5"/>
    <mergeCell ref="EW5:EY5"/>
    <mergeCell ref="EO3:ES3"/>
    <mergeCell ref="EZ5:FA5"/>
    <mergeCell ref="DI8:DI9"/>
    <mergeCell ref="CX3:CX4"/>
    <mergeCell ref="CY3:CY4"/>
    <mergeCell ref="CZ3:CZ4"/>
    <mergeCell ref="DF8:DF9"/>
    <mergeCell ref="DH8:DH9"/>
    <mergeCell ref="DM3:DM4"/>
    <mergeCell ref="DR3:DW3"/>
    <mergeCell ref="C3:E3"/>
    <mergeCell ref="C8:E8"/>
    <mergeCell ref="X8:X9"/>
    <mergeCell ref="Y8:Y9"/>
    <mergeCell ref="Z8:Z9"/>
    <mergeCell ref="AB8:AB9"/>
    <mergeCell ref="AC8:AC9"/>
    <mergeCell ref="AD8:AD9"/>
    <mergeCell ref="DC8:DC9"/>
    <mergeCell ref="CO8:CO9"/>
    <mergeCell ref="CP8:CP9"/>
    <mergeCell ref="CQ8:CQ9"/>
    <mergeCell ref="CR8:CR9"/>
    <mergeCell ref="CS8:CS9"/>
    <mergeCell ref="CT8:CT9"/>
    <mergeCell ref="CI8:CI9"/>
    <mergeCell ref="CJ8:CJ9"/>
    <mergeCell ref="CK8:CK9"/>
    <mergeCell ref="CL8:CL9"/>
    <mergeCell ref="AX8:AX9"/>
    <mergeCell ref="AY8:AY9"/>
    <mergeCell ref="AZ8:AZ9"/>
    <mergeCell ref="CF8:CF9"/>
    <mergeCell ref="CG8:CG9"/>
    <mergeCell ref="FP10:FS10"/>
    <mergeCell ref="CU5:CW5"/>
    <mergeCell ref="AQ5:AT5"/>
    <mergeCell ref="T8:T9"/>
    <mergeCell ref="U8:U9"/>
    <mergeCell ref="V8:V9"/>
    <mergeCell ref="FX3:FX4"/>
    <mergeCell ref="FY3:FY4"/>
    <mergeCell ref="FX8:FX9"/>
    <mergeCell ref="FY8:FY9"/>
    <mergeCell ref="FT3:FT4"/>
    <mergeCell ref="FT8:FT9"/>
    <mergeCell ref="FU3:FU4"/>
    <mergeCell ref="FU8:FU9"/>
    <mergeCell ref="FE3:FE4"/>
    <mergeCell ref="ET3:ET4"/>
    <mergeCell ref="EU3:EU4"/>
    <mergeCell ref="EV3:EV4"/>
    <mergeCell ref="DA3:DA4"/>
    <mergeCell ref="FE8:FE9"/>
    <mergeCell ref="ET8:ET9"/>
    <mergeCell ref="EU8:EU9"/>
    <mergeCell ref="EV8:EV9"/>
    <mergeCell ref="EM8:EM9"/>
    <mergeCell ref="GD3:GD4"/>
    <mergeCell ref="GD8:GD9"/>
    <mergeCell ref="FZ3:FZ4"/>
    <mergeCell ref="GA3:GA4"/>
    <mergeCell ref="GB3:GB4"/>
    <mergeCell ref="GC3:GC4"/>
    <mergeCell ref="FS8:FS9"/>
    <mergeCell ref="FO8:FO9"/>
    <mergeCell ref="FP8:FP9"/>
    <mergeCell ref="FQ8:FQ9"/>
    <mergeCell ref="FR8:FR9"/>
    <mergeCell ref="FV3:FV4"/>
    <mergeCell ref="FW3:FW4"/>
    <mergeCell ref="FV8:FV9"/>
    <mergeCell ref="FW8:FW9"/>
    <mergeCell ref="FS3:FS4"/>
    <mergeCell ref="FR3:FR4"/>
    <mergeCell ref="FP3:FP4"/>
    <mergeCell ref="FQ3:FQ4"/>
    <mergeCell ref="FP5:FS5"/>
    <mergeCell ref="FZ8:FZ9"/>
    <mergeCell ref="GA8:GA9"/>
    <mergeCell ref="GB8:GB9"/>
    <mergeCell ref="GC8:GC9"/>
  </mergeCells>
  <dataValidations count="1">
    <dataValidation type="list" allowBlank="1" showInputMessage="1" showErrorMessage="1" errorTitle="Falsche Eingabe" error="Bitte tragen Sie ein J oder N ein." sqref="GC3:GC6 GC10:GD10 GD6" xr:uid="{5B3FCE88-837B-482E-BEB4-5B3DB028A603}">
      <formula1>"J,N"</formula1>
    </dataValidation>
  </dataValidations>
  <pageMargins left="0.23622047244094491" right="0.23622047244094491" top="0.74803149606299213" bottom="0.74803149606299213" header="0.31496062992125984" footer="0.31496062992125984"/>
  <pageSetup paperSize="9" scale="39" fitToWidth="12" orientation="landscape" r:id="rId1"/>
  <headerFooter>
    <oddFooter>&amp;C&amp;F&amp;R&amp;P von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pageSetUpPr fitToPage="1"/>
  </sheetPr>
  <dimension ref="A1:H53"/>
  <sheetViews>
    <sheetView topLeftCell="A22" workbookViewId="0">
      <selection activeCell="H45" sqref="H45"/>
    </sheetView>
  </sheetViews>
  <sheetFormatPr baseColWidth="10" defaultColWidth="11.44140625" defaultRowHeight="14.4" x14ac:dyDescent="0.3"/>
  <cols>
    <col min="1" max="1" width="4.5546875" style="26" customWidth="1"/>
    <col min="2" max="2" width="51.109375" bestFit="1" customWidth="1"/>
    <col min="3" max="4" width="55.5546875" customWidth="1"/>
    <col min="6" max="6" width="18.88671875" bestFit="1" customWidth="1"/>
    <col min="7" max="7" width="10.44140625" customWidth="1"/>
    <col min="8" max="8" width="23.5546875" customWidth="1"/>
  </cols>
  <sheetData>
    <row r="1" spans="1:8" x14ac:dyDescent="0.3">
      <c r="A1" s="29" t="s">
        <v>543</v>
      </c>
    </row>
    <row r="3" spans="1:8" x14ac:dyDescent="0.3">
      <c r="A3" s="27" t="s">
        <v>544</v>
      </c>
      <c r="B3" s="72" t="s">
        <v>545</v>
      </c>
      <c r="C3" s="72"/>
      <c r="D3" s="72" t="s">
        <v>546</v>
      </c>
      <c r="E3" s="72" t="s">
        <v>547</v>
      </c>
      <c r="F3" s="72" t="s">
        <v>548</v>
      </c>
      <c r="G3" s="72" t="s">
        <v>549</v>
      </c>
      <c r="H3" s="72" t="s">
        <v>550</v>
      </c>
    </row>
    <row r="4" spans="1:8" x14ac:dyDescent="0.3">
      <c r="A4" s="28" t="s">
        <v>551</v>
      </c>
      <c r="B4" s="24" t="s">
        <v>552</v>
      </c>
      <c r="C4" s="77" t="s">
        <v>553</v>
      </c>
      <c r="D4" s="24" t="s">
        <v>554</v>
      </c>
      <c r="E4" s="58" t="s">
        <v>555</v>
      </c>
      <c r="F4" s="58"/>
      <c r="G4" s="58" t="s">
        <v>556</v>
      </c>
      <c r="H4" s="58"/>
    </row>
    <row r="5" spans="1:8" ht="72" x14ac:dyDescent="0.3">
      <c r="A5" s="26">
        <v>1</v>
      </c>
      <c r="B5" s="73" t="s">
        <v>557</v>
      </c>
      <c r="C5" s="78" t="s">
        <v>558</v>
      </c>
      <c r="D5" s="74" t="s">
        <v>559</v>
      </c>
      <c r="E5" s="62">
        <v>43040</v>
      </c>
      <c r="F5" s="63" t="s">
        <v>560</v>
      </c>
      <c r="G5" s="61" t="s">
        <v>561</v>
      </c>
      <c r="H5" s="25" t="s">
        <v>562</v>
      </c>
    </row>
    <row r="6" spans="1:8" ht="28.8" x14ac:dyDescent="0.3">
      <c r="A6" s="26">
        <v>2</v>
      </c>
      <c r="B6" t="s">
        <v>563</v>
      </c>
      <c r="C6" s="78" t="s">
        <v>564</v>
      </c>
      <c r="D6" s="75" t="s">
        <v>565</v>
      </c>
      <c r="E6" s="62">
        <v>43040</v>
      </c>
      <c r="F6" s="63" t="s">
        <v>560</v>
      </c>
      <c r="G6" s="61" t="s">
        <v>561</v>
      </c>
      <c r="H6" s="25" t="s">
        <v>562</v>
      </c>
    </row>
    <row r="7" spans="1:8" ht="28.8" x14ac:dyDescent="0.3">
      <c r="A7" s="26">
        <v>3</v>
      </c>
      <c r="B7" t="s">
        <v>566</v>
      </c>
      <c r="C7" s="78" t="s">
        <v>567</v>
      </c>
      <c r="D7" s="75" t="s">
        <v>568</v>
      </c>
      <c r="E7" s="62">
        <v>43040</v>
      </c>
      <c r="F7" s="63" t="s">
        <v>560</v>
      </c>
      <c r="G7" s="61" t="s">
        <v>561</v>
      </c>
      <c r="H7" s="25" t="s">
        <v>562</v>
      </c>
    </row>
    <row r="8" spans="1:8" x14ac:dyDescent="0.3">
      <c r="A8" s="26">
        <v>4</v>
      </c>
      <c r="B8" t="s">
        <v>569</v>
      </c>
      <c r="C8" s="78" t="s">
        <v>570</v>
      </c>
      <c r="D8" s="75" t="s">
        <v>571</v>
      </c>
      <c r="E8" s="62">
        <v>43040</v>
      </c>
      <c r="F8" s="63" t="s">
        <v>560</v>
      </c>
      <c r="G8" s="61" t="s">
        <v>561</v>
      </c>
      <c r="H8" s="25" t="s">
        <v>562</v>
      </c>
    </row>
    <row r="9" spans="1:8" x14ac:dyDescent="0.3">
      <c r="A9" s="26">
        <v>5</v>
      </c>
      <c r="B9" t="s">
        <v>572</v>
      </c>
      <c r="C9" s="78" t="s">
        <v>573</v>
      </c>
      <c r="D9" s="75" t="s">
        <v>574</v>
      </c>
      <c r="E9" s="59">
        <v>43110</v>
      </c>
      <c r="F9" s="60" t="s">
        <v>575</v>
      </c>
      <c r="G9" s="61" t="s">
        <v>561</v>
      </c>
      <c r="H9" s="25" t="s">
        <v>562</v>
      </c>
    </row>
    <row r="10" spans="1:8" x14ac:dyDescent="0.3">
      <c r="A10" s="26">
        <v>6</v>
      </c>
      <c r="B10" t="s">
        <v>576</v>
      </c>
      <c r="C10" s="78" t="s">
        <v>577</v>
      </c>
      <c r="D10" s="75" t="s">
        <v>578</v>
      </c>
      <c r="E10" s="59">
        <v>43110</v>
      </c>
      <c r="F10" s="60" t="s">
        <v>575</v>
      </c>
      <c r="G10" s="61" t="s">
        <v>561</v>
      </c>
      <c r="H10" s="25" t="s">
        <v>562</v>
      </c>
    </row>
    <row r="11" spans="1:8" x14ac:dyDescent="0.3">
      <c r="B11" t="s">
        <v>579</v>
      </c>
      <c r="C11" s="78" t="s">
        <v>580</v>
      </c>
      <c r="D11" s="75" t="s">
        <v>581</v>
      </c>
      <c r="E11" s="59">
        <v>43115</v>
      </c>
      <c r="F11" s="63" t="s">
        <v>560</v>
      </c>
      <c r="G11" s="61"/>
      <c r="H11" s="25" t="s">
        <v>562</v>
      </c>
    </row>
    <row r="12" spans="1:8" ht="43.2" x14ac:dyDescent="0.3">
      <c r="A12" s="30">
        <v>7</v>
      </c>
      <c r="B12" s="25" t="s">
        <v>582</v>
      </c>
      <c r="C12" s="78" t="s">
        <v>583</v>
      </c>
      <c r="D12" s="76" t="s">
        <v>584</v>
      </c>
      <c r="E12" s="62">
        <v>43040</v>
      </c>
      <c r="F12" s="63" t="s">
        <v>560</v>
      </c>
      <c r="G12" s="61" t="s">
        <v>561</v>
      </c>
      <c r="H12" s="25" t="s">
        <v>562</v>
      </c>
    </row>
    <row r="13" spans="1:8" x14ac:dyDescent="0.3">
      <c r="A13" s="26">
        <v>8</v>
      </c>
      <c r="B13" t="s">
        <v>585</v>
      </c>
      <c r="C13" s="78" t="s">
        <v>586</v>
      </c>
      <c r="D13" s="75" t="s">
        <v>587</v>
      </c>
      <c r="E13" s="59">
        <v>43110</v>
      </c>
      <c r="F13" s="60" t="s">
        <v>588</v>
      </c>
      <c r="G13" s="61" t="s">
        <v>561</v>
      </c>
      <c r="H13" s="25" t="s">
        <v>562</v>
      </c>
    </row>
    <row r="14" spans="1:8" x14ac:dyDescent="0.3">
      <c r="A14" s="26">
        <v>9</v>
      </c>
      <c r="B14" t="s">
        <v>589</v>
      </c>
      <c r="C14" s="78" t="s">
        <v>590</v>
      </c>
      <c r="D14" s="75" t="s">
        <v>591</v>
      </c>
      <c r="E14" s="62">
        <v>43040</v>
      </c>
      <c r="F14" s="63" t="s">
        <v>560</v>
      </c>
      <c r="G14" s="61" t="s">
        <v>561</v>
      </c>
      <c r="H14" s="25" t="s">
        <v>562</v>
      </c>
    </row>
    <row r="15" spans="1:8" x14ac:dyDescent="0.3">
      <c r="A15" s="26">
        <v>10</v>
      </c>
      <c r="B15" t="s">
        <v>592</v>
      </c>
      <c r="C15" s="78" t="s">
        <v>593</v>
      </c>
      <c r="D15" s="75" t="s">
        <v>594</v>
      </c>
      <c r="E15" s="62">
        <v>43040</v>
      </c>
      <c r="F15" s="63" t="s">
        <v>560</v>
      </c>
      <c r="G15" s="61" t="s">
        <v>561</v>
      </c>
      <c r="H15" s="25" t="s">
        <v>562</v>
      </c>
    </row>
    <row r="16" spans="1:8" x14ac:dyDescent="0.3">
      <c r="A16" s="26">
        <v>11</v>
      </c>
      <c r="B16" t="s">
        <v>595</v>
      </c>
      <c r="C16" s="78" t="s">
        <v>596</v>
      </c>
      <c r="D16" s="75" t="s">
        <v>597</v>
      </c>
      <c r="E16" s="62">
        <v>43040</v>
      </c>
      <c r="F16" s="63" t="s">
        <v>560</v>
      </c>
      <c r="G16" s="61" t="s">
        <v>561</v>
      </c>
      <c r="H16" s="25" t="s">
        <v>562</v>
      </c>
    </row>
    <row r="17" spans="1:8" ht="28.8" x14ac:dyDescent="0.3">
      <c r="A17" s="26">
        <v>12</v>
      </c>
      <c r="B17" t="s">
        <v>598</v>
      </c>
      <c r="C17" s="78" t="s">
        <v>599</v>
      </c>
      <c r="D17" s="75" t="s">
        <v>600</v>
      </c>
      <c r="E17" s="62">
        <v>43040</v>
      </c>
      <c r="F17" s="63" t="s">
        <v>560</v>
      </c>
      <c r="G17" s="61" t="s">
        <v>561</v>
      </c>
      <c r="H17" s="25" t="s">
        <v>562</v>
      </c>
    </row>
    <row r="18" spans="1:8" x14ac:dyDescent="0.3">
      <c r="A18" s="26">
        <v>13</v>
      </c>
      <c r="B18" t="s">
        <v>601</v>
      </c>
      <c r="C18" s="78" t="s">
        <v>602</v>
      </c>
      <c r="D18" s="75" t="s">
        <v>603</v>
      </c>
      <c r="E18" s="59">
        <v>43110</v>
      </c>
      <c r="F18" s="60" t="s">
        <v>604</v>
      </c>
      <c r="G18" s="61" t="s">
        <v>561</v>
      </c>
      <c r="H18" s="25" t="s">
        <v>562</v>
      </c>
    </row>
    <row r="19" spans="1:8" ht="86.4" x14ac:dyDescent="0.3">
      <c r="A19" s="26">
        <v>14</v>
      </c>
      <c r="B19" s="57" t="s">
        <v>605</v>
      </c>
      <c r="C19" s="79" t="s">
        <v>606</v>
      </c>
      <c r="D19" s="75" t="s">
        <v>607</v>
      </c>
      <c r="E19" s="59">
        <v>43115</v>
      </c>
      <c r="F19" s="71" t="s">
        <v>608</v>
      </c>
      <c r="G19" s="61" t="s">
        <v>561</v>
      </c>
      <c r="H19" s="25" t="s">
        <v>562</v>
      </c>
    </row>
    <row r="20" spans="1:8" x14ac:dyDescent="0.3">
      <c r="A20" s="26">
        <v>15</v>
      </c>
      <c r="B20" t="s">
        <v>609</v>
      </c>
      <c r="C20" s="78" t="s">
        <v>610</v>
      </c>
      <c r="D20" s="75" t="s">
        <v>611</v>
      </c>
      <c r="E20" s="59">
        <v>43115</v>
      </c>
      <c r="F20" s="71" t="s">
        <v>608</v>
      </c>
      <c r="G20" s="61" t="s">
        <v>561</v>
      </c>
      <c r="H20" s="25" t="s">
        <v>562</v>
      </c>
    </row>
    <row r="21" spans="1:8" x14ac:dyDescent="0.3">
      <c r="A21" s="26">
        <v>16</v>
      </c>
      <c r="B21" t="s">
        <v>612</v>
      </c>
      <c r="C21" s="78" t="s">
        <v>613</v>
      </c>
      <c r="D21" s="75" t="s">
        <v>614</v>
      </c>
      <c r="E21" s="59">
        <v>43115</v>
      </c>
      <c r="F21" s="71" t="s">
        <v>608</v>
      </c>
      <c r="G21" s="61" t="s">
        <v>561</v>
      </c>
      <c r="H21" s="25" t="s">
        <v>562</v>
      </c>
    </row>
    <row r="22" spans="1:8" ht="28.8" x14ac:dyDescent="0.3">
      <c r="A22" s="26">
        <v>17</v>
      </c>
      <c r="B22" s="81" t="s">
        <v>615</v>
      </c>
      <c r="C22" s="78" t="s">
        <v>616</v>
      </c>
      <c r="D22" s="75" t="s">
        <v>617</v>
      </c>
      <c r="E22" s="59">
        <v>43235</v>
      </c>
      <c r="F22" s="71"/>
      <c r="G22" s="61"/>
      <c r="H22" s="25"/>
    </row>
    <row r="23" spans="1:8" x14ac:dyDescent="0.3">
      <c r="A23" s="26">
        <v>18</v>
      </c>
      <c r="B23" t="s">
        <v>618</v>
      </c>
      <c r="C23" s="78" t="s">
        <v>619</v>
      </c>
      <c r="D23" s="75" t="s">
        <v>620</v>
      </c>
      <c r="E23" s="59">
        <v>43235</v>
      </c>
    </row>
    <row r="24" spans="1:8" x14ac:dyDescent="0.3">
      <c r="A24" s="26">
        <v>19</v>
      </c>
      <c r="B24" t="s">
        <v>621</v>
      </c>
      <c r="C24" s="78" t="s">
        <v>622</v>
      </c>
      <c r="D24" s="75" t="s">
        <v>623</v>
      </c>
      <c r="E24" s="59">
        <v>43235</v>
      </c>
    </row>
    <row r="25" spans="1:8" x14ac:dyDescent="0.3">
      <c r="A25" s="26">
        <v>20</v>
      </c>
      <c r="B25" t="s">
        <v>624</v>
      </c>
      <c r="C25" s="78" t="s">
        <v>625</v>
      </c>
      <c r="D25" s="75" t="s">
        <v>626</v>
      </c>
      <c r="E25" s="59">
        <v>43235</v>
      </c>
    </row>
    <row r="26" spans="1:8" x14ac:dyDescent="0.3">
      <c r="C26" s="78"/>
      <c r="D26" s="75"/>
      <c r="E26" s="59"/>
    </row>
    <row r="27" spans="1:8" x14ac:dyDescent="0.3">
      <c r="A27" s="26">
        <v>21</v>
      </c>
      <c r="B27" t="s">
        <v>627</v>
      </c>
      <c r="C27" s="78" t="s">
        <v>628</v>
      </c>
      <c r="D27" s="75" t="s">
        <v>629</v>
      </c>
      <c r="E27" s="59">
        <v>43374</v>
      </c>
      <c r="F27" s="71" t="s">
        <v>608</v>
      </c>
      <c r="H27" t="s">
        <v>630</v>
      </c>
    </row>
    <row r="28" spans="1:8" ht="28.8" x14ac:dyDescent="0.3">
      <c r="A28" s="30">
        <v>22</v>
      </c>
      <c r="B28" s="84" t="s">
        <v>631</v>
      </c>
      <c r="C28" s="78" t="s">
        <v>632</v>
      </c>
      <c r="D28" s="75" t="s">
        <v>633</v>
      </c>
      <c r="E28" s="85">
        <v>43374</v>
      </c>
      <c r="F28" s="30" t="s">
        <v>608</v>
      </c>
      <c r="G28" s="25"/>
      <c r="H28" s="25" t="s">
        <v>630</v>
      </c>
    </row>
    <row r="29" spans="1:8" x14ac:dyDescent="0.3">
      <c r="A29" s="26">
        <v>23</v>
      </c>
      <c r="B29" t="s">
        <v>634</v>
      </c>
      <c r="C29" s="78"/>
      <c r="D29" s="75" t="s">
        <v>635</v>
      </c>
      <c r="E29" s="85">
        <v>43374</v>
      </c>
      <c r="F29" s="30" t="s">
        <v>608</v>
      </c>
      <c r="G29" s="25"/>
      <c r="H29" s="25" t="s">
        <v>630</v>
      </c>
    </row>
    <row r="30" spans="1:8" x14ac:dyDescent="0.3">
      <c r="C30" s="78"/>
      <c r="D30" s="75"/>
      <c r="E30" s="85"/>
      <c r="F30" s="30"/>
      <c r="G30" s="25"/>
      <c r="H30" s="25"/>
    </row>
    <row r="31" spans="1:8" x14ac:dyDescent="0.3">
      <c r="B31" s="83" t="s">
        <v>636</v>
      </c>
      <c r="C31" s="90"/>
      <c r="D31" s="91"/>
      <c r="E31" s="85"/>
      <c r="F31" s="30"/>
      <c r="G31" s="25"/>
      <c r="H31" s="25"/>
    </row>
    <row r="32" spans="1:8" x14ac:dyDescent="0.3">
      <c r="C32" s="78"/>
      <c r="D32" s="75"/>
      <c r="E32" s="85"/>
      <c r="F32" s="30"/>
      <c r="G32" s="25"/>
      <c r="H32" s="25"/>
    </row>
    <row r="33" spans="1:8" ht="15" customHeight="1" x14ac:dyDescent="0.3">
      <c r="A33" s="26">
        <v>24</v>
      </c>
      <c r="B33" t="s">
        <v>637</v>
      </c>
      <c r="C33" s="78" t="s">
        <v>670</v>
      </c>
      <c r="D33" s="75" t="s">
        <v>677</v>
      </c>
      <c r="E33" s="85">
        <v>44623</v>
      </c>
      <c r="F33" s="30" t="s">
        <v>18</v>
      </c>
      <c r="G33" s="25"/>
      <c r="H33" s="25" t="s">
        <v>665</v>
      </c>
    </row>
    <row r="34" spans="1:8" x14ac:dyDescent="0.3">
      <c r="A34" s="26">
        <v>25</v>
      </c>
      <c r="B34" t="s">
        <v>638</v>
      </c>
      <c r="C34" s="78" t="s">
        <v>671</v>
      </c>
      <c r="D34" s="75" t="s">
        <v>676</v>
      </c>
      <c r="E34" s="85">
        <v>44623</v>
      </c>
      <c r="F34" s="30" t="s">
        <v>18</v>
      </c>
      <c r="G34" s="25"/>
      <c r="H34" s="25" t="s">
        <v>665</v>
      </c>
    </row>
    <row r="35" spans="1:8" x14ac:dyDescent="0.3">
      <c r="A35" s="26">
        <v>26</v>
      </c>
      <c r="B35" t="s">
        <v>668</v>
      </c>
      <c r="C35" s="78" t="s">
        <v>672</v>
      </c>
      <c r="D35" s="75" t="s">
        <v>678</v>
      </c>
      <c r="E35" s="85">
        <v>44623</v>
      </c>
      <c r="F35" s="30" t="s">
        <v>18</v>
      </c>
      <c r="G35" s="25"/>
      <c r="H35" s="25" t="s">
        <v>665</v>
      </c>
    </row>
    <row r="36" spans="1:8" x14ac:dyDescent="0.3">
      <c r="A36" s="26">
        <v>27</v>
      </c>
      <c r="B36" t="s">
        <v>667</v>
      </c>
      <c r="C36" s="78" t="s">
        <v>673</v>
      </c>
      <c r="D36" s="75" t="s">
        <v>679</v>
      </c>
      <c r="E36" s="85">
        <v>44623</v>
      </c>
      <c r="F36" s="30" t="s">
        <v>18</v>
      </c>
      <c r="G36" s="25"/>
      <c r="H36" s="25" t="s">
        <v>665</v>
      </c>
    </row>
    <row r="37" spans="1:8" x14ac:dyDescent="0.3">
      <c r="A37" s="26">
        <v>28</v>
      </c>
      <c r="B37" t="s">
        <v>666</v>
      </c>
      <c r="C37" s="78" t="s">
        <v>674</v>
      </c>
      <c r="D37" s="75" t="s">
        <v>680</v>
      </c>
      <c r="E37" s="85">
        <v>44623</v>
      </c>
      <c r="F37" s="30" t="s">
        <v>18</v>
      </c>
      <c r="G37" s="25"/>
      <c r="H37" s="25" t="s">
        <v>665</v>
      </c>
    </row>
    <row r="38" spans="1:8" x14ac:dyDescent="0.3">
      <c r="C38" s="78"/>
      <c r="D38" s="75"/>
      <c r="E38" s="85"/>
      <c r="F38" s="30"/>
      <c r="G38" s="25"/>
      <c r="H38" s="25"/>
    </row>
    <row r="39" spans="1:8" x14ac:dyDescent="0.3">
      <c r="E39" s="85"/>
      <c r="F39" s="30"/>
      <c r="G39" s="25"/>
      <c r="H39" s="25"/>
    </row>
    <row r="40" spans="1:8" x14ac:dyDescent="0.3">
      <c r="A40" s="26">
        <v>29</v>
      </c>
      <c r="B40" t="s">
        <v>669</v>
      </c>
      <c r="C40" s="78" t="s">
        <v>681</v>
      </c>
      <c r="D40" s="75" t="s">
        <v>682</v>
      </c>
      <c r="E40" s="85">
        <v>44623</v>
      </c>
      <c r="F40" s="30" t="s">
        <v>18</v>
      </c>
      <c r="G40" s="25"/>
      <c r="H40" s="25" t="s">
        <v>665</v>
      </c>
    </row>
    <row r="41" spans="1:8" x14ac:dyDescent="0.3">
      <c r="A41" s="26">
        <v>30</v>
      </c>
      <c r="B41" t="s">
        <v>683</v>
      </c>
      <c r="C41" s="78" t="s">
        <v>684</v>
      </c>
      <c r="D41" s="75" t="s">
        <v>685</v>
      </c>
      <c r="E41" s="85">
        <v>44623</v>
      </c>
      <c r="F41" s="30" t="s">
        <v>18</v>
      </c>
      <c r="G41" s="25"/>
      <c r="H41" s="25" t="s">
        <v>665</v>
      </c>
    </row>
    <row r="42" spans="1:8" x14ac:dyDescent="0.3">
      <c r="A42" s="26">
        <v>31</v>
      </c>
      <c r="B42" t="s">
        <v>601</v>
      </c>
      <c r="C42" s="78" t="s">
        <v>688</v>
      </c>
      <c r="D42" s="75" t="s">
        <v>689</v>
      </c>
      <c r="E42" s="85">
        <v>44623</v>
      </c>
      <c r="F42" s="30" t="s">
        <v>18</v>
      </c>
      <c r="G42" s="25"/>
      <c r="H42" s="25" t="s">
        <v>665</v>
      </c>
    </row>
    <row r="43" spans="1:8" x14ac:dyDescent="0.3">
      <c r="A43" s="26">
        <v>32</v>
      </c>
      <c r="B43" t="s">
        <v>601</v>
      </c>
      <c r="C43" s="78" t="s">
        <v>686</v>
      </c>
      <c r="D43" s="75" t="s">
        <v>687</v>
      </c>
      <c r="E43" s="85">
        <v>44623</v>
      </c>
      <c r="F43" s="30" t="s">
        <v>18</v>
      </c>
      <c r="G43" s="25"/>
      <c r="H43" s="25" t="s">
        <v>665</v>
      </c>
    </row>
    <row r="44" spans="1:8" x14ac:dyDescent="0.3">
      <c r="A44" s="26">
        <v>33</v>
      </c>
      <c r="B44" t="s">
        <v>697</v>
      </c>
      <c r="C44" s="78" t="s">
        <v>692</v>
      </c>
      <c r="D44" s="75" t="s">
        <v>694</v>
      </c>
      <c r="E44" s="59">
        <v>45362</v>
      </c>
      <c r="F44" s="30" t="s">
        <v>18</v>
      </c>
      <c r="H44" s="25" t="s">
        <v>701</v>
      </c>
    </row>
    <row r="45" spans="1:8" ht="28.8" x14ac:dyDescent="0.3">
      <c r="A45" s="26">
        <v>34</v>
      </c>
      <c r="B45" t="s">
        <v>698</v>
      </c>
      <c r="C45" s="78" t="s">
        <v>699</v>
      </c>
      <c r="D45" s="75" t="s">
        <v>700</v>
      </c>
      <c r="E45" s="59">
        <v>45362</v>
      </c>
      <c r="F45" s="26" t="s">
        <v>18</v>
      </c>
      <c r="H45" s="25" t="s">
        <v>701</v>
      </c>
    </row>
    <row r="51" spans="1:2" x14ac:dyDescent="0.3">
      <c r="A51" s="83"/>
      <c r="B51" s="83"/>
    </row>
    <row r="52" spans="1:2" x14ac:dyDescent="0.3">
      <c r="B52" s="166"/>
    </row>
    <row r="53" spans="1:2" x14ac:dyDescent="0.3">
      <c r="B53" s="166"/>
    </row>
  </sheetData>
  <mergeCells count="1">
    <mergeCell ref="B52:B53"/>
  </mergeCells>
  <phoneticPr fontId="41" type="noConversion"/>
  <printOptions gridLines="1"/>
  <pageMargins left="0.70866141732283472" right="0.70866141732283472" top="0.78740157480314965" bottom="0.78740157480314965" header="0.31496062992125984" footer="0.31496062992125984"/>
  <pageSetup paperSize="9" scale="96" orientation="landscape" r:id="rId1"/>
  <headerFooter>
    <oddFooter>&amp;C&amp;F&amp;R&amp;D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F94E8FC7F17694D955DC3308AA6AABD" ma:contentTypeVersion="4" ma:contentTypeDescription="Ein neues Dokument erstellen." ma:contentTypeScope="" ma:versionID="49ace3a348781dcdec23858ec07f494c">
  <xsd:schema xmlns:xsd="http://www.w3.org/2001/XMLSchema" xmlns:xs="http://www.w3.org/2001/XMLSchema" xmlns:p="http://schemas.microsoft.com/office/2006/metadata/properties" xmlns:ns2="be4bb0f8-4a0e-4a3d-8bf2-48acc5e22ec4" targetNamespace="http://schemas.microsoft.com/office/2006/metadata/properties" ma:root="true" ma:fieldsID="397c86445f79f1043a038357e56fe9cd" ns2:_="">
    <xsd:import namespace="be4bb0f8-4a0e-4a3d-8bf2-48acc5e22e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4bb0f8-4a0e-4a3d-8bf2-48acc5e22e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F2CDC7-C735-4A04-8942-08AEF8835D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A4E346-EEA8-4099-B915-3CDEF8261F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4bb0f8-4a0e-4a3d-8bf2-48acc5e22e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4B6E8A-1E04-4AC2-A185-5A967A91011F}">
  <ds:schemaRefs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be4bb0f8-4a0e-4a3d-8bf2-48acc5e22ec4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6</vt:i4>
      </vt:variant>
    </vt:vector>
  </HeadingPairs>
  <TitlesOfParts>
    <vt:vector size="16" baseType="lpstr">
      <vt:lpstr>Leitfaden - guide </vt:lpstr>
      <vt:lpstr>Start</vt:lpstr>
      <vt:lpstr>Arzneimittel</vt:lpstr>
      <vt:lpstr>Ersatzteil-nicht Medizinprodukt</vt:lpstr>
      <vt:lpstr>Medizinprodukt</vt:lpstr>
      <vt:lpstr>Diverse</vt:lpstr>
      <vt:lpstr>Artikelpass gesamt</vt:lpstr>
      <vt:lpstr>Header_Data</vt:lpstr>
      <vt:lpstr>Änd.historie-historyfolder</vt:lpstr>
      <vt:lpstr>Verpackungsgewichte (34.ff)</vt:lpstr>
      <vt:lpstr>'Artikelpass gesamt'!Drucktitel</vt:lpstr>
      <vt:lpstr>Arzneimittel!Drucktitel</vt:lpstr>
      <vt:lpstr>Diverse!Drucktitel</vt:lpstr>
      <vt:lpstr>'Ersatzteil-nicht Medizinprodukt'!Drucktitel</vt:lpstr>
      <vt:lpstr>Header_Data!Drucktitel</vt:lpstr>
      <vt:lpstr>Medizinprodukt!Drucktitel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Nick Jonischkeit, Nordwest Dental GmbH &amp; Co. KG;Riko Mahr, Dental-Union GmbH;Inga Erbach, Henry Schein Services GmbH</dc:creator>
  <cp:keywords/>
  <dc:description/>
  <cp:lastModifiedBy>Vivian Ristl</cp:lastModifiedBy>
  <cp:revision/>
  <dcterms:created xsi:type="dcterms:W3CDTF">2016-03-10T13:54:14Z</dcterms:created>
  <dcterms:modified xsi:type="dcterms:W3CDTF">2024-03-25T08:59:57Z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0x0101002F94E8FC7F17694D955DC3308AA6AABD</vt:lpwstr>
  </property>
</Properties>
</file>